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\Documents\EVE\Web Development\"/>
    </mc:Choice>
  </mc:AlternateContent>
  <bookViews>
    <workbookView xWindow="0" yWindow="0" windowWidth="1326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1" l="1"/>
  <c r="K69" i="1"/>
  <c r="K70" i="1"/>
  <c r="K71" i="1"/>
  <c r="L71" i="1" s="1"/>
  <c r="K72" i="1"/>
  <c r="A68" i="1"/>
  <c r="A69" i="1"/>
  <c r="A70" i="1"/>
  <c r="A71" i="1"/>
  <c r="A72" i="1"/>
  <c r="L70" i="1"/>
  <c r="L72" i="1"/>
  <c r="L68" i="1"/>
  <c r="L69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N7" i="1"/>
  <c r="L7" i="1"/>
  <c r="K7" i="1" l="1"/>
  <c r="A7" i="1"/>
  <c r="A73" i="1"/>
  <c r="K73" i="1" s="1"/>
  <c r="L73" i="1" s="1"/>
  <c r="N73" i="1" s="1"/>
  <c r="N72" i="1"/>
  <c r="N71" i="1"/>
  <c r="N70" i="1"/>
  <c r="N69" i="1"/>
  <c r="N68" i="1"/>
  <c r="A67" i="1"/>
  <c r="K67" i="1" s="1"/>
  <c r="L67" i="1" s="1"/>
  <c r="N67" i="1" s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A10" i="1"/>
  <c r="K10" i="1" s="1"/>
  <c r="L10" i="1" s="1"/>
  <c r="N10" i="1" s="1"/>
  <c r="A9" i="1"/>
  <c r="K9" i="1" s="1"/>
  <c r="L9" i="1" s="1"/>
  <c r="N9" i="1" s="1"/>
  <c r="A8" i="1"/>
  <c r="K8" i="1" s="1"/>
  <c r="L8" i="1" s="1"/>
  <c r="N8" i="1" s="1"/>
  <c r="A6" i="1"/>
  <c r="K6" i="1" s="1"/>
  <c r="L6" i="1" s="1"/>
  <c r="N6" i="1" s="1"/>
  <c r="A5" i="1"/>
  <c r="K5" i="1" s="1"/>
  <c r="L5" i="1" s="1"/>
  <c r="N5" i="1" s="1"/>
  <c r="A4" i="1"/>
  <c r="K4" i="1" s="1"/>
  <c r="L4" i="1" s="1"/>
  <c r="N4" i="1" s="1"/>
  <c r="A3" i="1"/>
  <c r="K3" i="1" s="1"/>
  <c r="N74" i="1" l="1"/>
  <c r="S17" i="1" s="1"/>
  <c r="L57" i="1"/>
  <c r="N57" i="1" s="1"/>
  <c r="L51" i="1"/>
  <c r="N51" i="1" s="1"/>
  <c r="L45" i="1"/>
  <c r="N45" i="1" s="1"/>
  <c r="L39" i="1"/>
  <c r="N39" i="1" s="1"/>
  <c r="L33" i="1"/>
  <c r="N33" i="1" s="1"/>
  <c r="L54" i="1"/>
  <c r="N54" i="1" s="1"/>
  <c r="L42" i="1"/>
  <c r="N42" i="1" s="1"/>
  <c r="L30" i="1"/>
  <c r="N30" i="1" s="1"/>
  <c r="L24" i="1"/>
  <c r="N24" i="1" s="1"/>
  <c r="L18" i="1"/>
  <c r="N18" i="1" s="1"/>
  <c r="L15" i="1"/>
  <c r="N15" i="1" s="1"/>
  <c r="N63" i="1" s="1"/>
  <c r="S16" i="1" s="1"/>
  <c r="L3" i="1"/>
  <c r="N3" i="1" s="1"/>
  <c r="N11" i="1" s="1"/>
  <c r="S15" i="1" s="1"/>
  <c r="S19" i="1" s="1"/>
  <c r="L60" i="1"/>
  <c r="N60" i="1" s="1"/>
  <c r="L48" i="1"/>
  <c r="N48" i="1" s="1"/>
  <c r="L36" i="1"/>
  <c r="N36" i="1" s="1"/>
  <c r="L27" i="1"/>
  <c r="N27" i="1" s="1"/>
  <c r="L21" i="1"/>
  <c r="N21" i="1" s="1"/>
  <c r="L16" i="1"/>
  <c r="N16" i="1" s="1"/>
  <c r="L17" i="1"/>
  <c r="N17" i="1" s="1"/>
  <c r="L19" i="1"/>
  <c r="N19" i="1" s="1"/>
  <c r="L20" i="1"/>
  <c r="N20" i="1" s="1"/>
  <c r="L22" i="1"/>
  <c r="N22" i="1" s="1"/>
  <c r="L23" i="1"/>
  <c r="N23" i="1" s="1"/>
  <c r="L25" i="1"/>
  <c r="N25" i="1" s="1"/>
  <c r="L26" i="1"/>
  <c r="N26" i="1" s="1"/>
  <c r="L28" i="1"/>
  <c r="N28" i="1" s="1"/>
  <c r="L29" i="1"/>
  <c r="N29" i="1" s="1"/>
  <c r="L31" i="1"/>
  <c r="N31" i="1" s="1"/>
  <c r="L32" i="1"/>
  <c r="N32" i="1" s="1"/>
  <c r="L34" i="1"/>
  <c r="N34" i="1" s="1"/>
  <c r="L38" i="1"/>
  <c r="N38" i="1" s="1"/>
  <c r="L40" i="1"/>
  <c r="N40" i="1" s="1"/>
  <c r="L44" i="1"/>
  <c r="N44" i="1" s="1"/>
  <c r="L46" i="1"/>
  <c r="N46" i="1" s="1"/>
  <c r="L50" i="1"/>
  <c r="N50" i="1" s="1"/>
  <c r="L52" i="1"/>
  <c r="N52" i="1" s="1"/>
  <c r="L56" i="1"/>
  <c r="N56" i="1" s="1"/>
  <c r="L58" i="1"/>
  <c r="N58" i="1" s="1"/>
  <c r="L62" i="1"/>
  <c r="N62" i="1" s="1"/>
  <c r="L37" i="1"/>
  <c r="N37" i="1" s="1"/>
  <c r="L41" i="1"/>
  <c r="N41" i="1" s="1"/>
  <c r="L49" i="1"/>
  <c r="N49" i="1" s="1"/>
  <c r="L53" i="1"/>
  <c r="N53" i="1" s="1"/>
  <c r="L61" i="1"/>
  <c r="N61" i="1" s="1"/>
  <c r="L35" i="1"/>
  <c r="N35" i="1" s="1"/>
  <c r="L43" i="1"/>
  <c r="N43" i="1" s="1"/>
  <c r="L47" i="1"/>
  <c r="N47" i="1" s="1"/>
  <c r="L55" i="1"/>
  <c r="N55" i="1" s="1"/>
  <c r="L59" i="1"/>
  <c r="N59" i="1" s="1"/>
  <c r="E85" i="1"/>
  <c r="K85" i="1" s="1"/>
  <c r="L85" i="1" s="1"/>
  <c r="N85" i="1" s="1"/>
  <c r="E84" i="1"/>
  <c r="K84" i="1" s="1"/>
  <c r="L84" i="1" s="1"/>
  <c r="N84" i="1" s="1"/>
  <c r="E81" i="1"/>
  <c r="K81" i="1" s="1"/>
  <c r="L81" i="1" s="1"/>
  <c r="N81" i="1" s="1"/>
  <c r="E80" i="1"/>
  <c r="K80" i="1" s="1"/>
  <c r="L80" i="1" s="1"/>
  <c r="N80" i="1" s="1"/>
  <c r="K88" i="1"/>
  <c r="L88" i="1" s="1"/>
  <c r="N88" i="1" s="1"/>
  <c r="K86" i="1"/>
  <c r="L86" i="1" s="1"/>
  <c r="N86" i="1" s="1"/>
  <c r="K89" i="1"/>
  <c r="L89" i="1" s="1"/>
  <c r="N89" i="1" s="1"/>
  <c r="K87" i="1"/>
  <c r="L87" i="1" s="1"/>
  <c r="N87" i="1" s="1"/>
  <c r="E79" i="1"/>
  <c r="K79" i="1" s="1"/>
  <c r="L79" i="1" s="1"/>
  <c r="N79" i="1" s="1"/>
  <c r="E78" i="1"/>
  <c r="K78" i="1" s="1"/>
  <c r="L78" i="1" s="1"/>
  <c r="N78" i="1" s="1"/>
  <c r="E83" i="1"/>
  <c r="K83" i="1" s="1"/>
  <c r="L83" i="1" s="1"/>
  <c r="N83" i="1" s="1"/>
  <c r="E82" i="1"/>
  <c r="K82" i="1" s="1"/>
  <c r="L82" i="1" s="1"/>
  <c r="N82" i="1" s="1"/>
  <c r="N90" i="1" l="1"/>
  <c r="S18" i="1" s="1"/>
</calcChain>
</file>

<file path=xl/sharedStrings.xml><?xml version="1.0" encoding="utf-8"?>
<sst xmlns="http://schemas.openxmlformats.org/spreadsheetml/2006/main" count="116" uniqueCount="104">
  <si>
    <t>Mineral Purchase Section</t>
  </si>
  <si>
    <t>Mineral Pay-out Coefficient:</t>
  </si>
  <si>
    <t>(multiplied by price. Essentially percentage of Jita price paid)</t>
  </si>
  <si>
    <t>//buy/max</t>
  </si>
  <si>
    <t>Jita Prices</t>
  </si>
  <si>
    <t>Highest Buy</t>
  </si>
  <si>
    <t>Corp Rate</t>
  </si>
  <si>
    <t>Quantity</t>
  </si>
  <si>
    <t>Total for Item:</t>
  </si>
  <si>
    <t>Expand to Set Rounding</t>
  </si>
  <si>
    <t>Tritanium</t>
  </si>
  <si>
    <t>Pyerite</t>
  </si>
  <si>
    <t>Mexallon</t>
  </si>
  <si>
    <t>Isogen</t>
  </si>
  <si>
    <t>Noxcium</t>
  </si>
  <si>
    <t>Zydrine</t>
  </si>
  <si>
    <t>Megacyte</t>
  </si>
  <si>
    <t>Morphite</t>
  </si>
  <si>
    <t>Mineral Total:</t>
  </si>
  <si>
    <t>Ore Purchase Section</t>
  </si>
  <si>
    <t>Ore Pay-out Coefficient:</t>
  </si>
  <si>
    <t>Mineral Derived Prices</t>
  </si>
  <si>
    <t>Perfect Refine Price</t>
  </si>
  <si>
    <t>Total</t>
  </si>
  <si>
    <t>Veldspar</t>
  </si>
  <si>
    <t>Minerals:</t>
  </si>
  <si>
    <t>Concentrated Veldspar</t>
  </si>
  <si>
    <t>Ore:</t>
  </si>
  <si>
    <t>Dense Veldspar</t>
  </si>
  <si>
    <t>Ice Products:</t>
  </si>
  <si>
    <t>Scordite</t>
  </si>
  <si>
    <t>Ice:</t>
  </si>
  <si>
    <t>Condensed Scordite</t>
  </si>
  <si>
    <t>Total:</t>
  </si>
  <si>
    <t>Massive Scordite</t>
  </si>
  <si>
    <t>Pyroxeres</t>
  </si>
  <si>
    <t>Solid Pyroxeres</t>
  </si>
  <si>
    <t>Viscous Pyroxeres</t>
  </si>
  <si>
    <t>Plagioclase</t>
  </si>
  <si>
    <t>Azure Plagioclase</t>
  </si>
  <si>
    <t>Rich Plagioclase</t>
  </si>
  <si>
    <t>Omber</t>
  </si>
  <si>
    <t>Silvery Omber</t>
  </si>
  <si>
    <t>Golden Omber</t>
  </si>
  <si>
    <t>Kernite</t>
  </si>
  <si>
    <t>Luminous Kernite</t>
  </si>
  <si>
    <t>Fiery Kernite</t>
  </si>
  <si>
    <t>Jaspet</t>
  </si>
  <si>
    <t>Pure Jaspet</t>
  </si>
  <si>
    <t>Pristine Jaspet</t>
  </si>
  <si>
    <t>Hemorphite</t>
  </si>
  <si>
    <t>Vivid Hemorphite</t>
  </si>
  <si>
    <t>Radiant Hemorphite</t>
  </si>
  <si>
    <t>Hedbergite</t>
  </si>
  <si>
    <t>Vitric Hedbergite</t>
  </si>
  <si>
    <t>Glazed Hedbergite</t>
  </si>
  <si>
    <t>Gneiss</t>
  </si>
  <si>
    <t>Irisdescent Gneiss</t>
  </si>
  <si>
    <t>Prismatic Gneiss</t>
  </si>
  <si>
    <t>Dark Ochre</t>
  </si>
  <si>
    <t>Onyx Ochre</t>
  </si>
  <si>
    <t>Obsidian Ochre</t>
  </si>
  <si>
    <t>Crokite</t>
  </si>
  <si>
    <t>Sharp Crokite</t>
  </si>
  <si>
    <t>Crystalline Crokite</t>
  </si>
  <si>
    <t>Spodumain</t>
  </si>
  <si>
    <t>Bright Spodumain</t>
  </si>
  <si>
    <t>Gleaming Spodumain</t>
  </si>
  <si>
    <t>Bistot</t>
  </si>
  <si>
    <t>Triclinic Bistot</t>
  </si>
  <si>
    <t>Monoclinic Bistot</t>
  </si>
  <si>
    <t>Arkanor</t>
  </si>
  <si>
    <t>Crimson Arkanor</t>
  </si>
  <si>
    <t>Prime Arkanor</t>
  </si>
  <si>
    <t>Mercoxit</t>
  </si>
  <si>
    <t>Magma Mercoxit</t>
  </si>
  <si>
    <t>Vitreous Mercoxit</t>
  </si>
  <si>
    <t>Ore Total:</t>
  </si>
  <si>
    <t>Ice Products Purchase Section</t>
  </si>
  <si>
    <t>Ice Product Pay-out Coefficient:</t>
  </si>
  <si>
    <t>Heavy Water</t>
  </si>
  <si>
    <t>Helium Isotopes</t>
  </si>
  <si>
    <t>Hydrogen Isotopes</t>
  </si>
  <si>
    <t>Liquid Ozone</t>
  </si>
  <si>
    <t>Nitrogen Isotope</t>
  </si>
  <si>
    <t>Oxygen Isotopes</t>
  </si>
  <si>
    <t>Strontium Clathrates</t>
  </si>
  <si>
    <t>Ice Product Total:</t>
  </si>
  <si>
    <t>Ice  Purchase Section</t>
  </si>
  <si>
    <t>Ice Pay-out Coefficient:</t>
  </si>
  <si>
    <t>Ice Product Derived Prices</t>
  </si>
  <si>
    <t>White Glaze</t>
  </si>
  <si>
    <t>Pristine White Glaze</t>
  </si>
  <si>
    <t>Glacial Mass</t>
  </si>
  <si>
    <t>Smooth Glacial Mass</t>
  </si>
  <si>
    <t>Blue Ice</t>
  </si>
  <si>
    <t>Thick Blue Ice</t>
  </si>
  <si>
    <t>Clear Icicle</t>
  </si>
  <si>
    <t>Enriched Clear Icicle</t>
  </si>
  <si>
    <t>Glare Ice</t>
  </si>
  <si>
    <t>Dark Glitter</t>
  </si>
  <si>
    <t>Gelidus</t>
  </si>
  <si>
    <t>Krystallos</t>
  </si>
  <si>
    <t>Ice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</si>
</sst>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D5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/>
    <xf numFmtId="4" fontId="1" fillId="2" borderId="1" xfId="0" applyNumberFormat="1" applyFont="1" applyFill="1" applyBorder="1" applyAlignment="1"/>
    <xf numFmtId="4" fontId="0" fillId="2" borderId="1" xfId="0" applyNumberFormat="1" applyFill="1" applyBorder="1"/>
    <xf numFmtId="4" fontId="0" fillId="0" borderId="0" xfId="0" applyNumberFormat="1" applyFill="1" applyBorder="1"/>
    <xf numFmtId="4" fontId="0" fillId="0" borderId="0" xfId="0" applyNumberFormat="1" applyAlignment="1">
      <alignment horizontal="right"/>
    </xf>
    <xf numFmtId="4" fontId="0" fillId="3" borderId="0" xfId="0" applyNumberFormat="1" applyFill="1"/>
    <xf numFmtId="4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 wrapText="1"/>
    </xf>
    <xf numFmtId="4" fontId="0" fillId="2" borderId="1" xfId="0" applyNumberFormat="1" applyFill="1" applyBorder="1" applyAlignment="1">
      <alignment horizontal="right"/>
    </xf>
    <xf numFmtId="4" fontId="0" fillId="4" borderId="1" xfId="0" applyNumberFormat="1" applyFill="1" applyBorder="1"/>
    <xf numFmtId="4" fontId="0" fillId="0" borderId="0" xfId="0" applyNumberFormat="1" applyFont="1"/>
    <xf numFmtId="4" fontId="0" fillId="5" borderId="1" xfId="0" applyNumberFormat="1" applyFill="1" applyBorder="1"/>
    <xf numFmtId="4" fontId="1" fillId="4" borderId="1" xfId="0" applyNumberFormat="1" applyFont="1" applyFill="1" applyBorder="1" applyAlignment="1"/>
    <xf numFmtId="4" fontId="0" fillId="4" borderId="1" xfId="0" applyNumberFormat="1" applyFill="1" applyBorder="1" applyAlignment="1">
      <alignment horizontal="center" wrapText="1"/>
    </xf>
    <xf numFmtId="4" fontId="0" fillId="4" borderId="1" xfId="0" applyNumberFormat="1" applyFill="1" applyBorder="1" applyAlignment="1">
      <alignment horizontal="center"/>
    </xf>
    <xf numFmtId="4" fontId="1" fillId="0" borderId="0" xfId="0" applyNumberFormat="1" applyFont="1" applyAlignment="1">
      <alignment horizontal="right"/>
    </xf>
    <xf numFmtId="4" fontId="0" fillId="4" borderId="1" xfId="0" applyNumberFormat="1" applyFill="1" applyBorder="1" applyAlignment="1">
      <alignment horizontal="right"/>
    </xf>
    <xf numFmtId="4" fontId="1" fillId="6" borderId="1" xfId="0" applyNumberFormat="1" applyFont="1" applyFill="1" applyBorder="1" applyAlignment="1"/>
    <xf numFmtId="4" fontId="0" fillId="6" borderId="1" xfId="0" applyNumberFormat="1" applyFill="1" applyBorder="1"/>
    <xf numFmtId="4" fontId="0" fillId="0" borderId="0" xfId="0" applyNumberFormat="1" applyFill="1"/>
    <xf numFmtId="4" fontId="0" fillId="6" borderId="1" xfId="0" applyNumberFormat="1" applyFill="1" applyBorder="1" applyAlignment="1">
      <alignment horizontal="center" wrapText="1"/>
    </xf>
    <xf numFmtId="4" fontId="0" fillId="6" borderId="1" xfId="0" applyNumberFormat="1" applyFill="1" applyBorder="1" applyAlignment="1">
      <alignment horizontal="center"/>
    </xf>
    <xf numFmtId="4" fontId="0" fillId="6" borderId="1" xfId="0" applyNumberFormat="1" applyFill="1" applyBorder="1" applyAlignment="1">
      <alignment horizontal="right"/>
    </xf>
    <xf numFmtId="4" fontId="1" fillId="7" borderId="1" xfId="0" applyNumberFormat="1" applyFont="1" applyFill="1" applyBorder="1" applyAlignment="1"/>
    <xf numFmtId="4" fontId="0" fillId="7" borderId="1" xfId="0" applyNumberFormat="1" applyFill="1" applyBorder="1"/>
    <xf numFmtId="4" fontId="0" fillId="7" borderId="1" xfId="0" applyNumberFormat="1" applyFill="1" applyBorder="1" applyAlignment="1">
      <alignment horizontal="center" wrapText="1"/>
    </xf>
    <xf numFmtId="4" fontId="0" fillId="7" borderId="1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tabSelected="1" topLeftCell="E1" zoomScaleNormal="100" workbookViewId="0">
      <selection activeCell="K67" sqref="K67:K72"/>
    </sheetView>
  </sheetViews>
  <sheetFormatPr defaultColWidth="8.28515625" defaultRowHeight="15" x14ac:dyDescent="0.25"/>
  <cols>
    <col min="1" max="1" width="9.7109375" style="1" customWidth="1"/>
    <col min="2" max="2" width="3.85546875" style="1" customWidth="1"/>
    <col min="3" max="3" width="8.85546875" style="1" customWidth="1"/>
    <col min="4" max="4" width="13.5703125" style="1" customWidth="1"/>
    <col min="5" max="6" width="14.5703125" style="1" customWidth="1"/>
    <col min="7" max="7" width="12.140625" style="1" customWidth="1"/>
    <col min="8" max="8" width="9.85546875" style="1" customWidth="1"/>
    <col min="9" max="9" width="34.85546875" style="1" hidden="1" customWidth="1"/>
    <col min="10" max="10" width="22.42578125" style="5" customWidth="1"/>
    <col min="11" max="11" width="14.5703125" style="1" customWidth="1"/>
    <col min="12" max="12" width="10.7109375" style="1" customWidth="1"/>
    <col min="13" max="13" width="14" style="1" customWidth="1"/>
    <col min="14" max="14" width="13.7109375" style="1" customWidth="1"/>
    <col min="15" max="15" width="2" style="20" customWidth="1"/>
    <col min="16" max="16" width="8.28515625" style="5"/>
    <col min="17" max="17" width="8.28515625" style="1"/>
    <col min="18" max="18" width="13.5703125" style="1" customWidth="1"/>
    <col min="19" max="19" width="17.7109375" style="1" customWidth="1"/>
    <col min="20" max="16384" width="8.28515625" style="1"/>
  </cols>
  <sheetData>
    <row r="1" spans="1:19" ht="26.25" x14ac:dyDescent="0.4">
      <c r="J1" s="2" t="s">
        <v>0</v>
      </c>
      <c r="K1" s="3"/>
      <c r="L1" s="3"/>
      <c r="M1" s="3"/>
      <c r="N1" s="3"/>
      <c r="O1" s="4"/>
      <c r="P1" s="5" t="s">
        <v>1</v>
      </c>
      <c r="Q1" s="6">
        <v>0.95</v>
      </c>
      <c r="R1" s="1" t="s">
        <v>2</v>
      </c>
    </row>
    <row r="2" spans="1:19" ht="30" customHeight="1" x14ac:dyDescent="0.25">
      <c r="A2" s="1" t="s">
        <v>3</v>
      </c>
      <c r="J2" s="7" t="s">
        <v>4</v>
      </c>
      <c r="K2" s="8" t="s">
        <v>5</v>
      </c>
      <c r="L2" s="7" t="s">
        <v>6</v>
      </c>
      <c r="M2" s="7" t="s">
        <v>7</v>
      </c>
      <c r="N2" s="7" t="s">
        <v>8</v>
      </c>
      <c r="O2" s="4" t="s">
        <v>9</v>
      </c>
    </row>
    <row r="3" spans="1:19" x14ac:dyDescent="0.25">
      <c r="A3" s="1" t="str">
        <f>_xlfn.WEBSERVICE("http://api.eve-central.com/api/marketstat?typeid=34&amp;minQ=100000&amp;usesystem=30000142")</f>
        <v>&lt;?xml version='1.0' encoding='utf-8'?&gt;
&lt;evec_api version="2.0" method="marketstat_xml"&gt;
      &lt;marketstat&gt;&lt;type id="34"&gt;
          &lt;buy&gt;&lt;volume&gt;24241347224&lt;/volume&gt;&lt;avg&gt;4.92&lt;/avg&gt;&lt;max&gt;5.16&lt;/max&gt;&lt;min&gt;2.96&lt;/min&gt;&lt;stddev&gt;0.43&lt;/stddev&gt;&lt;median&gt;4.96&lt;/median&gt;&lt;percentile&gt;5.15&lt;/percentile&gt;&lt;/buy&gt;
          &lt;sell&gt;&lt;volume&gt;19330557925&lt;/volume&gt;&lt;avg&gt;5.94&lt;/avg&gt;&lt;max&gt;10.00&lt;/max&gt;&lt;min&gt;5.24&lt;/min&gt;&lt;stddev&gt;0.85&lt;/stddev&gt;&lt;median&gt;6.00&lt;/median&gt;&lt;percentile&gt;5.27&lt;/percentile&gt;&lt;/sell&gt;
          &lt;all&gt;&lt;volume&gt;43583016260&lt;/volume&gt;&lt;avg&gt;5.37&lt;/avg&gt;&lt;max&gt;10.00&lt;/max&gt;&lt;min&gt;0.30&lt;/min&gt;&lt;stddev&gt;1.02&lt;/stddev&gt;&lt;median&gt;5.14&lt;/median&gt;&lt;percentile&gt;4.52&lt;/percentile&gt;&lt;/all&gt;
        &lt;/type&gt;&lt;/marketstat&gt;
    &lt;/evec_api&gt;</v>
      </c>
      <c r="J3" s="9" t="s">
        <v>10</v>
      </c>
      <c r="K3" s="3">
        <f t="shared" ref="K3:K10" si="0">_xlfn.FILTERXML(A3,$A$2)</f>
        <v>5.16</v>
      </c>
      <c r="L3" s="3">
        <f>ROUND((K3*$Q$1)/O3,0)*O3</f>
        <v>4.9000000000000004</v>
      </c>
      <c r="M3" s="3">
        <v>1</v>
      </c>
      <c r="N3" s="10">
        <f>L3*M3</f>
        <v>4.9000000000000004</v>
      </c>
      <c r="O3" s="4">
        <v>0.01</v>
      </c>
      <c r="R3" s="11"/>
    </row>
    <row r="4" spans="1:19" x14ac:dyDescent="0.25">
      <c r="A4" s="1" t="str">
        <f>_xlfn.WEBSERVICE("http://api.eve-central.com/api/marketstat?typeid=35&amp;minQ=100000&amp;usesystem=30000142")</f>
        <v>&lt;?xml version='1.0' encoding='utf-8'?&gt;
&lt;evec_api version="2.0" method="marketstat_xml"&gt;
      &lt;marketstat&gt;&lt;type id="35"&gt;
          &lt;buy&gt;&lt;volume&gt;2250968652&lt;/volume&gt;&lt;avg&gt;11.50&lt;/avg&gt;&lt;max&gt;12.18&lt;/max&gt;&lt;min&gt;7.05&lt;/min&gt;&lt;stddev&gt;1.17&lt;/stddev&gt;&lt;median&gt;12.04&lt;/median&gt;&lt;percentile&gt;12.18&lt;/percentile&gt;&lt;/buy&gt;
          &lt;sell&gt;&lt;volume&gt;8560226128&lt;/volume&gt;&lt;avg&gt;14.05&lt;/avg&gt;&lt;max&gt;17.50&lt;/max&gt;&lt;min&gt;12.41&lt;/min&gt;&lt;stddev&gt;1.26&lt;/stddev&gt;&lt;median&gt;13.30&lt;/median&gt;&lt;percentile&gt;12.44&lt;/percentile&gt;&lt;/sell&gt;
          &lt;all&gt;&lt;volume&gt;10811194780&lt;/volume&gt;&lt;avg&gt;13.52&lt;/avg&gt;&lt;max&gt;17.50&lt;/max&gt;&lt;min&gt;7.05&lt;/min&gt;&lt;stddev&gt;1.52&lt;/stddev&gt;&lt;median&gt;12.86&lt;/median&gt;&lt;percentile&gt;10.41&lt;/percentile&gt;&lt;/all&gt;
        &lt;/type&gt;&lt;/marketstat&gt;
    &lt;/evec_api&gt;</v>
      </c>
      <c r="J4" s="9" t="s">
        <v>11</v>
      </c>
      <c r="K4" s="3">
        <f t="shared" si="0"/>
        <v>12.18</v>
      </c>
      <c r="L4" s="3">
        <f t="shared" ref="L4:L10" si="1">ROUND((K4*$Q$1)/O4,0)*O4</f>
        <v>11.57</v>
      </c>
      <c r="M4" s="3"/>
      <c r="N4" s="10">
        <f t="shared" ref="N4:N10" si="2">L4*M4</f>
        <v>0</v>
      </c>
      <c r="O4" s="4">
        <v>0.01</v>
      </c>
    </row>
    <row r="5" spans="1:19" x14ac:dyDescent="0.25">
      <c r="A5" s="1" t="str">
        <f>_xlfn.WEBSERVICE("http://api.eve-central.com/api/marketstat?typeid=36&amp;minQ=100000&amp;usesystem=30000142")</f>
        <v>&lt;?xml version='1.0' encoding='utf-8'?&gt;
&lt;evec_api version="2.0" method="marketstat_xml"&gt;
      &lt;marketstat&gt;&lt;type id="36"&gt;
          &lt;buy&gt;&lt;volume&gt;3182256552&lt;/volume&gt;&lt;avg&gt;45.86&lt;/avg&gt;&lt;max&gt;48.05&lt;/max&gt;&lt;min&gt;23.12&lt;/min&gt;&lt;stddev&gt;5.07&lt;/stddev&gt;&lt;median&gt;47.63&lt;/median&gt;&lt;percentile&gt;48.04&lt;/percentile&gt;&lt;/buy&gt;
          &lt;sell&gt;&lt;volume&gt;3253324801&lt;/volume&gt;&lt;avg&gt;56.71&lt;/avg&gt;&lt;max&gt;66.51&lt;/max&gt;&lt;min&gt;48.17&lt;/min&gt;&lt;stddev&gt;5.59&lt;/stddev&gt;&lt;median&gt;54.58&lt;/median&gt;&lt;percentile&gt;48.80&lt;/percentile&gt;&lt;/sell&gt;
          &lt;all&gt;&lt;volume&gt;6435581353&lt;/volume&gt;&lt;avg&gt;51.34&lt;/avg&gt;&lt;max&gt;66.51&lt;/max&gt;&lt;min&gt;23.12&lt;/min&gt;&lt;stddev&gt;6.70&lt;/stddev&gt;&lt;median&gt;48.77&lt;/median&gt;&lt;percentile&gt;34.73&lt;/percentile&gt;&lt;/all&gt;
        &lt;/type&gt;&lt;/marketstat&gt;
    &lt;/evec_api&gt;</v>
      </c>
      <c r="J5" s="9" t="s">
        <v>12</v>
      </c>
      <c r="K5" s="3">
        <f t="shared" si="0"/>
        <v>48.05</v>
      </c>
      <c r="L5" s="3">
        <f t="shared" si="1"/>
        <v>45.65</v>
      </c>
      <c r="M5" s="3"/>
      <c r="N5" s="10">
        <f t="shared" si="2"/>
        <v>0</v>
      </c>
      <c r="O5" s="4">
        <v>0.01</v>
      </c>
    </row>
    <row r="6" spans="1:19" x14ac:dyDescent="0.25">
      <c r="A6" s="1" t="str">
        <f>_xlfn.WEBSERVICE("http://api.eve-central.com/api/marketstat?typeid=37&amp;minQ=100000&amp;usesystem=30000142")</f>
        <v>&lt;?xml version='1.0' encoding='utf-8'?&gt;
&lt;evec_api version="2.0" method="marketstat_xml"&gt;
      &lt;marketstat&gt;&lt;type id="37"&gt;
          &lt;buy&gt;&lt;volume&gt;541182795&lt;/volume&gt;&lt;avg&gt;128.52&lt;/avg&gt;&lt;max&gt;132.54&lt;/max&gt;&lt;min&gt;52.55&lt;/min&gt;&lt;stddev&gt;19.95&lt;/stddev&gt;&lt;median&gt;132.04&lt;/median&gt;&lt;percentile&gt;132.53&lt;/percentile&gt;&lt;/buy&gt;
          &lt;sell&gt;&lt;volume&gt;1387152164&lt;/volume&gt;&lt;avg&gt;139.58&lt;/avg&gt;&lt;max&gt;215.01&lt;/max&gt;&lt;min&gt;133.13&lt;/min&gt;&lt;stddev&gt;21.31&lt;/stddev&gt;&lt;median&gt;133.22&lt;/median&gt;&lt;percentile&gt;133.22&lt;/percentile&gt;&lt;/sell&gt;
          &lt;all&gt;&lt;volume&gt;1929446070&lt;/volume&gt;&lt;avg&gt;136.41&lt;/avg&gt;&lt;max&gt;215.01&lt;/max&gt;&lt;min&gt;11.12&lt;/min&gt;&lt;stddev&gt;28.18&lt;/stddev&gt;&lt;median&gt;133.61&lt;/median&gt;&lt;percentile&gt;111.57&lt;/percentile&gt;&lt;/all&gt;
        &lt;/type&gt;&lt;/marketstat&gt;
    &lt;/evec_api&gt;</v>
      </c>
      <c r="J6" s="9" t="s">
        <v>13</v>
      </c>
      <c r="K6" s="3">
        <f t="shared" si="0"/>
        <v>132.54</v>
      </c>
      <c r="L6" s="3">
        <f t="shared" si="1"/>
        <v>125.91</v>
      </c>
      <c r="M6" s="3"/>
      <c r="N6" s="10">
        <f t="shared" si="2"/>
        <v>0</v>
      </c>
      <c r="O6" s="4">
        <v>0.01</v>
      </c>
    </row>
    <row r="7" spans="1:19" x14ac:dyDescent="0.25">
      <c r="A7" s="1" t="str">
        <f>_xlfn.WEBSERVICE("http://api.eve-central.com/api/marketstat?typeid=38&amp;minQ=10000&amp;usesystem=30000142")</f>
        <v>&lt;?xml version='1.0' encoding='utf-8'?&gt;
&lt;evec_api version="2.0" method="marketstat_xml"&gt;
      &lt;marketstat&gt;&lt;type id="38"&gt;
          &lt;buy&gt;&lt;volume&gt;124552997&lt;/volume&gt;&lt;avg&gt;711.91&lt;/avg&gt;&lt;max&gt;727.04&lt;/max&gt;&lt;min&gt;436.11&lt;/min&gt;&lt;stddev&gt;96.52&lt;/stddev&gt;&lt;median&gt;726.67&lt;/median&gt;&lt;percentile&gt;726.99&lt;/percentile&gt;&lt;/buy&gt;
          &lt;sell&gt;&lt;volume&gt;158376803&lt;/volume&gt;&lt;avg&gt;824.72&lt;/avg&gt;&lt;max&gt;1227.40&lt;/max&gt;&lt;min&gt;728.00&lt;/min&gt;&lt;stddev&gt;95.22&lt;/stddev&gt;&lt;median&gt;800.00&lt;/median&gt;&lt;percentile&gt;742.93&lt;/percentile&gt;&lt;/sell&gt;
          &lt;all&gt;&lt;volume&gt;282929800&lt;/volume&gt;&lt;avg&gt;775.06&lt;/avg&gt;&lt;max&gt;1227.40&lt;/max&gt;&lt;min&gt;436.11&lt;/min&gt;&lt;stddev&gt;107.67&lt;/stddev&gt;&lt;median&gt;745.97&lt;/median&gt;&lt;percentile&gt;617.71&lt;/percentile&gt;&lt;/all&gt;
        &lt;/type&gt;&lt;/marketstat&gt;
    &lt;/evec_api&gt;</v>
      </c>
      <c r="J7" s="9" t="s">
        <v>14</v>
      </c>
      <c r="K7" s="3">
        <f>_xlfn.FILTERXML(A7,$A$2)</f>
        <v>727.04</v>
      </c>
      <c r="L7" s="3">
        <f>ROUND((K7*$Q$1)/O7,0)*O7</f>
        <v>690.69</v>
      </c>
      <c r="M7" s="3">
        <v>1</v>
      </c>
      <c r="N7" s="10">
        <f>L7*M7</f>
        <v>690.69</v>
      </c>
      <c r="O7" s="4">
        <v>0.01</v>
      </c>
    </row>
    <row r="8" spans="1:19" x14ac:dyDescent="0.25">
      <c r="A8" s="1" t="str">
        <f>_xlfn.WEBSERVICE("http://api.eve-central.com/api/marketstat?typeid=39&amp;minQ=100000&amp;usesystem=30000142")</f>
        <v>&lt;?xml version='1.0' encoding='utf-8'?&gt;
&lt;evec_api version="2.0" method="marketstat_xml"&gt;
      &lt;marketstat&gt;&lt;type id="39"&gt;
          &lt;buy&gt;&lt;volume&gt;154863431&lt;/volume&gt;&lt;avg&gt;680.91&lt;/avg&gt;&lt;max&gt;706.22&lt;/max&gt;&lt;min&gt;401.00&lt;/min&gt;&lt;stddev&gt;80.65&lt;/stddev&gt;&lt;median&gt;700.00&lt;/median&gt;&lt;percentile&gt;703.03&lt;/percentile&gt;&lt;/buy&gt;
          &lt;sell&gt;&lt;volume&gt;240723122&lt;/volume&gt;&lt;avg&gt;1071.42&lt;/avg&gt;&lt;max&gt;1599.93&lt;/max&gt;&lt;min&gt;724.82&lt;/min&gt;&lt;stddev&gt;194.75&lt;/stddev&gt;&lt;median&gt;917.96&lt;/median&gt;&lt;percentile&gt;728.04&lt;/percentile&gt;&lt;/sell&gt;
          &lt;all&gt;&lt;volume&gt;396586553&lt;/volume&gt;&lt;avg&gt;916.25&lt;/avg&gt;&lt;max&gt;1599.93&lt;/max&gt;&lt;min&gt;8.01&lt;/min&gt;&lt;stddev&gt;215.55&lt;/stddev&gt;&lt;median&gt;774.00&lt;/median&gt;&lt;percentile&gt;561.58&lt;/percentile&gt;&lt;/all&gt;
        &lt;/type&gt;&lt;/marketstat&gt;
    &lt;/evec_api&gt;</v>
      </c>
      <c r="J8" s="9" t="s">
        <v>15</v>
      </c>
      <c r="K8" s="3">
        <f t="shared" si="0"/>
        <v>706.22</v>
      </c>
      <c r="L8" s="3">
        <f t="shared" si="1"/>
        <v>670.91</v>
      </c>
      <c r="M8" s="3"/>
      <c r="N8" s="10">
        <f t="shared" si="2"/>
        <v>0</v>
      </c>
      <c r="O8" s="4">
        <v>0.01</v>
      </c>
    </row>
    <row r="9" spans="1:19" x14ac:dyDescent="0.25">
      <c r="A9" s="1" t="str">
        <f>_xlfn.WEBSERVICE("http://api.eve-central.com/api/marketstat?typeid=40&amp;minQ=100000&amp;usesystem=30000142")</f>
        <v>&lt;?xml version='1.0' encoding='utf-8'?&gt;
&lt;evec_api version="2.0" method="marketstat_xml"&gt;
      &lt;marketstat&gt;&lt;type id="40"&gt;
          &lt;buy&gt;&lt;volume&gt;31498935&lt;/volume&gt;&lt;avg&gt;1522.91&lt;/avg&gt;&lt;max&gt;1592.08&lt;/max&gt;&lt;min&gt;1127.01&lt;/min&gt;&lt;stddev&gt;129.17&lt;/stddev&gt;&lt;median&gt;1551.11&lt;/median&gt;&lt;percentile&gt;1592.03&lt;/percentile&gt;&lt;/buy&gt;
          &lt;sell&gt;&lt;volume&gt;159064247&lt;/volume&gt;&lt;avg&gt;2654.99&lt;/avg&gt;&lt;max&gt;3899.91&lt;/max&gt;&lt;min&gt;1642.84&lt;/min&gt;&lt;stddev&gt;724.35&lt;/stddev&gt;&lt;median&gt;2319.60&lt;/median&gt;&lt;percentile&gt;1646.89&lt;/percentile&gt;&lt;/sell&gt;
          &lt;all&gt;&lt;volume&gt;190563182&lt;/volume&gt;&lt;avg&gt;2467.87&lt;/avg&gt;&lt;max&gt;3899.91&lt;/max&gt;&lt;min&gt;1127.01&lt;/min&gt;&lt;stddev&gt;681.93&lt;/stddev&gt;&lt;median&gt;2099.98&lt;/median&gt;&lt;percentile&gt;1425.65&lt;/percentile&gt;&lt;/all&gt;
        &lt;/type&gt;&lt;/marketstat&gt;
    &lt;/evec_api&gt;</v>
      </c>
      <c r="J9" s="9" t="s">
        <v>16</v>
      </c>
      <c r="K9" s="3">
        <f t="shared" si="0"/>
        <v>1592.08</v>
      </c>
      <c r="L9" s="3">
        <f t="shared" si="1"/>
        <v>1512.48</v>
      </c>
      <c r="M9" s="3"/>
      <c r="N9" s="10">
        <f t="shared" si="2"/>
        <v>0</v>
      </c>
      <c r="O9" s="4">
        <v>0.01</v>
      </c>
    </row>
    <row r="10" spans="1:19" x14ac:dyDescent="0.25">
      <c r="A10" s="1" t="str">
        <f>_xlfn.WEBSERVICE("http://api.eve-central.com/api/marketstat?typeid=11399&amp;minQ=100000&amp;usesystem=30000142")</f>
        <v>&lt;?xml version='1.0' encoding='utf-8'?&gt;
&lt;evec_api version="2.0" method="marketstat_xml"&gt;
      &lt;marketstat&gt;&lt;type id="11399"&gt;
          &lt;buy&gt;&lt;volume&gt;3352436&lt;/volume&gt;&lt;avg&gt;6479.03&lt;/avg&gt;&lt;max&gt;6959.39&lt;/max&gt;&lt;min&gt;3927.01&lt;/min&gt;&lt;stddev&gt;664.30&lt;/stddev&gt;&lt;median&gt;6578.21&lt;/median&gt;&lt;percentile&gt;6916.44&lt;/percentile&gt;&lt;/buy&gt;
          &lt;sell&gt;&lt;volume&gt;8638589&lt;/volume&gt;&lt;avg&gt;8592.42&lt;/avg&gt;&lt;max&gt;15999.90&lt;/max&gt;&lt;min&gt;7189.80&lt;/min&gt;&lt;stddev&gt;2055.23&lt;/stddev&gt;&lt;median&gt;7425.00&lt;/median&gt;&lt;percentile&gt;7189.84&lt;/percentile&gt;&lt;/sell&gt;
          &lt;all&gt;&lt;volume&gt;11991025&lt;/volume&gt;&lt;avg&gt;8001.57&lt;/avg&gt;&lt;max&gt;15999.90&lt;/max&gt;&lt;min&gt;3927.01&lt;/min&gt;&lt;stddev&gt;1841.73&lt;/stddev&gt;&lt;median&gt;7236.83&lt;/median&gt;&lt;percentile&gt;5714.87&lt;/percentile&gt;&lt;/all&gt;
        &lt;/type&gt;&lt;/marketstat&gt;
    &lt;/evec_api&gt;</v>
      </c>
      <c r="J10" s="9" t="s">
        <v>17</v>
      </c>
      <c r="K10" s="3">
        <f t="shared" si="0"/>
        <v>6959.39</v>
      </c>
      <c r="L10" s="3">
        <f t="shared" si="1"/>
        <v>6611.42</v>
      </c>
      <c r="M10" s="3"/>
      <c r="N10" s="10">
        <f t="shared" si="2"/>
        <v>0</v>
      </c>
      <c r="O10" s="4">
        <v>0.01</v>
      </c>
    </row>
    <row r="11" spans="1:19" x14ac:dyDescent="0.25">
      <c r="J11" s="9"/>
      <c r="K11" s="3"/>
      <c r="L11" s="3"/>
      <c r="M11" s="9" t="s">
        <v>18</v>
      </c>
      <c r="N11" s="12" t="e">
        <f>SUM(N3:N10)</f>
        <v>#VALUE!</v>
      </c>
      <c r="O11" s="4"/>
    </row>
    <row r="13" spans="1:19" ht="26.25" x14ac:dyDescent="0.4">
      <c r="J13" s="13" t="s">
        <v>19</v>
      </c>
      <c r="K13" s="10"/>
      <c r="L13" s="10"/>
      <c r="M13" s="10"/>
      <c r="N13" s="10"/>
      <c r="O13" s="4"/>
      <c r="P13" s="5" t="s">
        <v>20</v>
      </c>
      <c r="Q13" s="6">
        <v>0.9</v>
      </c>
      <c r="R13" s="11"/>
    </row>
    <row r="14" spans="1:19" ht="30.75" customHeight="1" x14ac:dyDescent="0.4">
      <c r="J14" s="14" t="s">
        <v>21</v>
      </c>
      <c r="K14" s="14" t="s">
        <v>22</v>
      </c>
      <c r="L14" s="14" t="s">
        <v>6</v>
      </c>
      <c r="M14" s="15" t="s">
        <v>7</v>
      </c>
      <c r="N14" s="15" t="s">
        <v>8</v>
      </c>
      <c r="O14" s="4"/>
      <c r="R14" s="16" t="s">
        <v>23</v>
      </c>
    </row>
    <row r="15" spans="1:19" x14ac:dyDescent="0.25">
      <c r="A15" s="1">
        <v>1000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333</v>
      </c>
      <c r="J15" s="17" t="s">
        <v>24</v>
      </c>
      <c r="K15" s="10">
        <f t="shared" ref="K15:K62" si="3">(A15*$K$3+B15*$K$4+C15*$K$5+D15*$K$6+E15*$K$7+F15*$K$8+G15*$K$9+H15*$K$10)/I15</f>
        <v>15.495495495495495</v>
      </c>
      <c r="L15" s="10">
        <f>ROUND((K15*$Q$13)/O15,0)*O15</f>
        <v>13.950000000000001</v>
      </c>
      <c r="M15" s="10">
        <v>1</v>
      </c>
      <c r="N15" s="10">
        <f>L15*M15</f>
        <v>13.950000000000001</v>
      </c>
      <c r="O15" s="4">
        <v>0.01</v>
      </c>
      <c r="R15" s="5" t="s">
        <v>25</v>
      </c>
      <c r="S15" s="1" t="e">
        <f>N11</f>
        <v>#VALUE!</v>
      </c>
    </row>
    <row r="16" spans="1:19" x14ac:dyDescent="0.25">
      <c r="A16" s="1">
        <f>ROUND(A15*1.05,0)</f>
        <v>1050</v>
      </c>
      <c r="B16" s="1">
        <f t="shared" ref="B16:H16" si="4">ROUND(B15*1.05,0)</f>
        <v>0</v>
      </c>
      <c r="C16" s="1">
        <f t="shared" si="4"/>
        <v>0</v>
      </c>
      <c r="D16" s="1">
        <f t="shared" si="4"/>
        <v>0</v>
      </c>
      <c r="E16" s="1">
        <f t="shared" si="4"/>
        <v>0</v>
      </c>
      <c r="F16" s="1">
        <f t="shared" si="4"/>
        <v>0</v>
      </c>
      <c r="G16" s="1">
        <f t="shared" si="4"/>
        <v>0</v>
      </c>
      <c r="H16" s="1">
        <f t="shared" si="4"/>
        <v>0</v>
      </c>
      <c r="I16" s="1">
        <v>333</v>
      </c>
      <c r="J16" s="17" t="s">
        <v>26</v>
      </c>
      <c r="K16" s="10">
        <f t="shared" si="3"/>
        <v>16.27027027027027</v>
      </c>
      <c r="L16" s="10">
        <f t="shared" ref="L16:L61" si="5">ROUND((K16*$Q$13)/O16,0)*O16</f>
        <v>14.64</v>
      </c>
      <c r="M16" s="10"/>
      <c r="N16" s="10">
        <f t="shared" ref="N16:N62" si="6">L16*M16</f>
        <v>0</v>
      </c>
      <c r="O16" s="4">
        <v>0.01</v>
      </c>
      <c r="R16" s="5" t="s">
        <v>27</v>
      </c>
      <c r="S16" s="1">
        <f>N63</f>
        <v>100.69</v>
      </c>
    </row>
    <row r="17" spans="1:19" x14ac:dyDescent="0.25">
      <c r="A17" s="1">
        <f>ROUND(A15*1.1,0)</f>
        <v>1100</v>
      </c>
      <c r="B17" s="1">
        <f t="shared" ref="B17:H17" si="7">ROUND(B15*1.1,0)</f>
        <v>0</v>
      </c>
      <c r="C17" s="1">
        <f t="shared" si="7"/>
        <v>0</v>
      </c>
      <c r="D17" s="1">
        <f t="shared" si="7"/>
        <v>0</v>
      </c>
      <c r="E17" s="1">
        <f t="shared" si="7"/>
        <v>0</v>
      </c>
      <c r="F17" s="1">
        <f t="shared" si="7"/>
        <v>0</v>
      </c>
      <c r="G17" s="1">
        <f t="shared" si="7"/>
        <v>0</v>
      </c>
      <c r="H17" s="1">
        <f t="shared" si="7"/>
        <v>0</v>
      </c>
      <c r="I17" s="1">
        <v>333</v>
      </c>
      <c r="J17" s="17" t="s">
        <v>28</v>
      </c>
      <c r="K17" s="10">
        <f t="shared" si="3"/>
        <v>17.045045045045047</v>
      </c>
      <c r="L17" s="10">
        <f t="shared" si="5"/>
        <v>15.34</v>
      </c>
      <c r="M17" s="10"/>
      <c r="N17" s="10">
        <f t="shared" si="6"/>
        <v>0</v>
      </c>
      <c r="O17" s="4">
        <v>0.01</v>
      </c>
      <c r="R17" s="5" t="s">
        <v>29</v>
      </c>
      <c r="S17" s="1">
        <f>N74</f>
        <v>1050.7</v>
      </c>
    </row>
    <row r="18" spans="1:19" x14ac:dyDescent="0.25">
      <c r="A18" s="1">
        <v>833</v>
      </c>
      <c r="B18" s="1">
        <v>416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333</v>
      </c>
      <c r="J18" s="17" t="s">
        <v>30</v>
      </c>
      <c r="K18" s="10">
        <f t="shared" si="3"/>
        <v>28.123603603603602</v>
      </c>
      <c r="L18" s="10">
        <f t="shared" si="5"/>
        <v>25.310000000000002</v>
      </c>
      <c r="M18" s="10"/>
      <c r="N18" s="10">
        <f t="shared" si="6"/>
        <v>0</v>
      </c>
      <c r="O18" s="4">
        <v>0.01</v>
      </c>
      <c r="R18" s="5" t="s">
        <v>31</v>
      </c>
      <c r="S18" s="1">
        <f>N90</f>
        <v>649692</v>
      </c>
    </row>
    <row r="19" spans="1:19" x14ac:dyDescent="0.25">
      <c r="A19" s="1">
        <f>ROUND(A18*1.05,0)</f>
        <v>875</v>
      </c>
      <c r="B19" s="1">
        <f t="shared" ref="B19:H19" si="8">ROUND(B18*1.05,0)</f>
        <v>437</v>
      </c>
      <c r="C19" s="1">
        <f t="shared" si="8"/>
        <v>0</v>
      </c>
      <c r="D19" s="1">
        <f t="shared" si="8"/>
        <v>0</v>
      </c>
      <c r="E19" s="1">
        <f t="shared" si="8"/>
        <v>0</v>
      </c>
      <c r="F19" s="1">
        <f t="shared" si="8"/>
        <v>0</v>
      </c>
      <c r="G19" s="1">
        <f t="shared" si="8"/>
        <v>0</v>
      </c>
      <c r="H19" s="1">
        <f t="shared" si="8"/>
        <v>0</v>
      </c>
      <c r="I19" s="1">
        <v>333</v>
      </c>
      <c r="J19" s="17" t="s">
        <v>32</v>
      </c>
      <c r="K19" s="10">
        <f t="shared" si="3"/>
        <v>29.542522522522521</v>
      </c>
      <c r="L19" s="10">
        <f t="shared" si="5"/>
        <v>26.59</v>
      </c>
      <c r="M19" s="10"/>
      <c r="N19" s="10">
        <f t="shared" si="6"/>
        <v>0</v>
      </c>
      <c r="O19" s="4">
        <v>0.01</v>
      </c>
      <c r="R19" s="5" t="s">
        <v>33</v>
      </c>
      <c r="S19" s="1" t="e">
        <f>SUM(S15:S18)</f>
        <v>#VALUE!</v>
      </c>
    </row>
    <row r="20" spans="1:19" x14ac:dyDescent="0.25">
      <c r="A20" s="1">
        <f>ROUND(A18*1.1,0)</f>
        <v>916</v>
      </c>
      <c r="B20" s="1">
        <f t="shared" ref="B20:H20" si="9">ROUND(B18*1.1,0)</f>
        <v>458</v>
      </c>
      <c r="C20" s="1">
        <f t="shared" si="9"/>
        <v>0</v>
      </c>
      <c r="D20" s="1">
        <f t="shared" si="9"/>
        <v>0</v>
      </c>
      <c r="E20" s="1">
        <f t="shared" si="9"/>
        <v>0</v>
      </c>
      <c r="F20" s="1">
        <f t="shared" si="9"/>
        <v>0</v>
      </c>
      <c r="G20" s="1">
        <f t="shared" si="9"/>
        <v>0</v>
      </c>
      <c r="H20" s="1">
        <f t="shared" si="9"/>
        <v>0</v>
      </c>
      <c r="I20" s="1">
        <v>333</v>
      </c>
      <c r="J20" s="17" t="s">
        <v>34</v>
      </c>
      <c r="K20" s="10">
        <f t="shared" si="3"/>
        <v>30.945945945945947</v>
      </c>
      <c r="L20" s="10">
        <f t="shared" si="5"/>
        <v>27.85</v>
      </c>
      <c r="M20" s="10"/>
      <c r="N20" s="10">
        <f t="shared" si="6"/>
        <v>0</v>
      </c>
      <c r="O20" s="4">
        <v>0.01</v>
      </c>
      <c r="R20" s="5"/>
    </row>
    <row r="21" spans="1:19" x14ac:dyDescent="0.25">
      <c r="A21" s="1">
        <v>844</v>
      </c>
      <c r="B21" s="1">
        <v>59</v>
      </c>
      <c r="C21" s="1">
        <v>120</v>
      </c>
      <c r="D21" s="1">
        <v>0</v>
      </c>
      <c r="E21" s="1">
        <v>11</v>
      </c>
      <c r="F21" s="1">
        <v>0</v>
      </c>
      <c r="G21" s="1">
        <v>0</v>
      </c>
      <c r="H21" s="1">
        <v>0</v>
      </c>
      <c r="I21" s="1">
        <v>333</v>
      </c>
      <c r="J21" s="17" t="s">
        <v>35</v>
      </c>
      <c r="K21" s="10">
        <f t="shared" si="3"/>
        <v>56.567867867867861</v>
      </c>
      <c r="L21" s="10">
        <f t="shared" si="5"/>
        <v>50.910000000000004</v>
      </c>
      <c r="M21" s="10"/>
      <c r="N21" s="10">
        <f t="shared" si="6"/>
        <v>0</v>
      </c>
      <c r="O21" s="4">
        <v>0.01</v>
      </c>
      <c r="R21" s="5"/>
    </row>
    <row r="22" spans="1:19" x14ac:dyDescent="0.25">
      <c r="A22" s="1">
        <f>ROUND(A21*1.05,0)</f>
        <v>886</v>
      </c>
      <c r="B22" s="1">
        <f t="shared" ref="B22:H22" si="10">ROUND(B21*1.05,0)</f>
        <v>62</v>
      </c>
      <c r="C22" s="1">
        <f t="shared" si="10"/>
        <v>126</v>
      </c>
      <c r="D22" s="1">
        <f t="shared" si="10"/>
        <v>0</v>
      </c>
      <c r="E22" s="1">
        <f t="shared" si="10"/>
        <v>12</v>
      </c>
      <c r="F22" s="1">
        <f t="shared" si="10"/>
        <v>0</v>
      </c>
      <c r="G22" s="1">
        <f t="shared" si="10"/>
        <v>0</v>
      </c>
      <c r="H22" s="1">
        <f t="shared" si="10"/>
        <v>0</v>
      </c>
      <c r="I22" s="1">
        <v>333</v>
      </c>
      <c r="J22" s="17" t="s">
        <v>36</v>
      </c>
      <c r="K22" s="10">
        <f t="shared" si="3"/>
        <v>60.37747747747747</v>
      </c>
      <c r="L22" s="10">
        <f t="shared" si="5"/>
        <v>54.34</v>
      </c>
      <c r="M22" s="10"/>
      <c r="N22" s="10">
        <f t="shared" si="6"/>
        <v>0</v>
      </c>
      <c r="O22" s="4">
        <v>0.01</v>
      </c>
      <c r="R22" s="5"/>
    </row>
    <row r="23" spans="1:19" x14ac:dyDescent="0.25">
      <c r="A23" s="1">
        <f>ROUND(A21*1.1,0)</f>
        <v>928</v>
      </c>
      <c r="B23" s="1">
        <f t="shared" ref="B23:H23" si="11">ROUND(B21*1.1,0)</f>
        <v>65</v>
      </c>
      <c r="C23" s="1">
        <f t="shared" si="11"/>
        <v>132</v>
      </c>
      <c r="D23" s="1">
        <f t="shared" si="11"/>
        <v>0</v>
      </c>
      <c r="E23" s="1">
        <f t="shared" si="11"/>
        <v>12</v>
      </c>
      <c r="F23" s="1">
        <f t="shared" si="11"/>
        <v>0</v>
      </c>
      <c r="G23" s="1">
        <f t="shared" si="11"/>
        <v>0</v>
      </c>
      <c r="H23" s="1">
        <f t="shared" si="11"/>
        <v>0</v>
      </c>
      <c r="I23" s="1">
        <v>333</v>
      </c>
      <c r="J23" s="17" t="s">
        <v>37</v>
      </c>
      <c r="K23" s="10">
        <f t="shared" si="3"/>
        <v>62.003783783783781</v>
      </c>
      <c r="L23" s="10">
        <f t="shared" si="5"/>
        <v>55.800000000000004</v>
      </c>
      <c r="M23" s="10"/>
      <c r="N23" s="10">
        <f t="shared" si="6"/>
        <v>0</v>
      </c>
      <c r="O23" s="4">
        <v>0.01</v>
      </c>
      <c r="R23" s="5"/>
    </row>
    <row r="24" spans="1:19" x14ac:dyDescent="0.25">
      <c r="A24" s="1">
        <v>256</v>
      </c>
      <c r="B24" s="1">
        <v>512</v>
      </c>
      <c r="C24" s="1">
        <v>256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333</v>
      </c>
      <c r="J24" s="17" t="s">
        <v>38</v>
      </c>
      <c r="K24" s="10">
        <f t="shared" si="3"/>
        <v>59.633393393393391</v>
      </c>
      <c r="L24" s="10">
        <f t="shared" si="5"/>
        <v>53.67</v>
      </c>
      <c r="M24" s="10"/>
      <c r="N24" s="10">
        <f t="shared" si="6"/>
        <v>0</v>
      </c>
      <c r="O24" s="4">
        <v>0.01</v>
      </c>
    </row>
    <row r="25" spans="1:19" x14ac:dyDescent="0.25">
      <c r="A25" s="1">
        <f>ROUND(A24*1.05,0)</f>
        <v>269</v>
      </c>
      <c r="B25" s="1">
        <f t="shared" ref="B25:H25" si="12">ROUND(B24*1.05,0)</f>
        <v>538</v>
      </c>
      <c r="C25" s="1">
        <f t="shared" si="12"/>
        <v>269</v>
      </c>
      <c r="D25" s="1">
        <f t="shared" si="12"/>
        <v>0</v>
      </c>
      <c r="E25" s="1">
        <f t="shared" si="12"/>
        <v>0</v>
      </c>
      <c r="F25" s="1">
        <f t="shared" si="12"/>
        <v>0</v>
      </c>
      <c r="G25" s="1">
        <f t="shared" si="12"/>
        <v>0</v>
      </c>
      <c r="H25" s="1">
        <f t="shared" si="12"/>
        <v>0</v>
      </c>
      <c r="I25" s="1">
        <v>333</v>
      </c>
      <c r="J25" s="17" t="s">
        <v>39</v>
      </c>
      <c r="K25" s="10">
        <f t="shared" si="3"/>
        <v>62.661651651651646</v>
      </c>
      <c r="L25" s="10">
        <f t="shared" si="5"/>
        <v>56.4</v>
      </c>
      <c r="M25" s="10"/>
      <c r="N25" s="10">
        <f t="shared" si="6"/>
        <v>0</v>
      </c>
      <c r="O25" s="4">
        <v>0.01</v>
      </c>
    </row>
    <row r="26" spans="1:19" x14ac:dyDescent="0.25">
      <c r="A26" s="1">
        <f>ROUND(A24*1.1,0)</f>
        <v>282</v>
      </c>
      <c r="B26" s="1">
        <f t="shared" ref="B26:H26" si="13">ROUND(B24*1.1,0)</f>
        <v>563</v>
      </c>
      <c r="C26" s="1">
        <f t="shared" si="13"/>
        <v>282</v>
      </c>
      <c r="D26" s="1">
        <f t="shared" si="13"/>
        <v>0</v>
      </c>
      <c r="E26" s="1">
        <f t="shared" si="13"/>
        <v>0</v>
      </c>
      <c r="F26" s="1">
        <f t="shared" si="13"/>
        <v>0</v>
      </c>
      <c r="G26" s="1">
        <f t="shared" si="13"/>
        <v>0</v>
      </c>
      <c r="H26" s="1">
        <f t="shared" si="13"/>
        <v>0</v>
      </c>
      <c r="I26" s="1">
        <v>333</v>
      </c>
      <c r="J26" s="17" t="s">
        <v>40</v>
      </c>
      <c r="K26" s="10">
        <f t="shared" si="3"/>
        <v>65.653333333333322</v>
      </c>
      <c r="L26" s="10">
        <f t="shared" si="5"/>
        <v>59.09</v>
      </c>
      <c r="M26" s="10"/>
      <c r="N26" s="10">
        <f t="shared" si="6"/>
        <v>0</v>
      </c>
      <c r="O26" s="4">
        <v>0.01</v>
      </c>
    </row>
    <row r="27" spans="1:19" x14ac:dyDescent="0.25">
      <c r="A27" s="1">
        <v>307</v>
      </c>
      <c r="B27" s="1">
        <v>123</v>
      </c>
      <c r="C27" s="1">
        <v>0</v>
      </c>
      <c r="D27" s="1">
        <v>307</v>
      </c>
      <c r="E27" s="1">
        <v>0</v>
      </c>
      <c r="F27" s="1">
        <v>0</v>
      </c>
      <c r="G27" s="1">
        <v>0</v>
      </c>
      <c r="H27" s="1">
        <v>0</v>
      </c>
      <c r="I27" s="1">
        <v>500</v>
      </c>
      <c r="J27" s="17" t="s">
        <v>41</v>
      </c>
      <c r="K27" s="10">
        <f t="shared" si="3"/>
        <v>87.544080000000008</v>
      </c>
      <c r="L27" s="10">
        <f t="shared" si="5"/>
        <v>78.790000000000006</v>
      </c>
      <c r="M27" s="10"/>
      <c r="N27" s="10">
        <f t="shared" si="6"/>
        <v>0</v>
      </c>
      <c r="O27" s="4">
        <v>0.01</v>
      </c>
    </row>
    <row r="28" spans="1:19" x14ac:dyDescent="0.25">
      <c r="A28" s="1">
        <f>ROUND(A27*1.05,0)</f>
        <v>322</v>
      </c>
      <c r="B28" s="1">
        <f t="shared" ref="B28:H28" si="14">ROUND(B27*1.05,0)</f>
        <v>129</v>
      </c>
      <c r="C28" s="1">
        <f t="shared" si="14"/>
        <v>0</v>
      </c>
      <c r="D28" s="1">
        <f t="shared" si="14"/>
        <v>322</v>
      </c>
      <c r="E28" s="1">
        <f t="shared" si="14"/>
        <v>0</v>
      </c>
      <c r="F28" s="1">
        <f t="shared" si="14"/>
        <v>0</v>
      </c>
      <c r="G28" s="1">
        <f t="shared" si="14"/>
        <v>0</v>
      </c>
      <c r="H28" s="1">
        <f t="shared" si="14"/>
        <v>0</v>
      </c>
      <c r="I28" s="1">
        <v>500</v>
      </c>
      <c r="J28" s="17" t="s">
        <v>42</v>
      </c>
      <c r="K28" s="10">
        <f t="shared" si="3"/>
        <v>91.821239999999989</v>
      </c>
      <c r="L28" s="10">
        <f t="shared" si="5"/>
        <v>82.64</v>
      </c>
      <c r="M28" s="10"/>
      <c r="N28" s="10">
        <f t="shared" si="6"/>
        <v>0</v>
      </c>
      <c r="O28" s="4">
        <v>0.01</v>
      </c>
    </row>
    <row r="29" spans="1:19" x14ac:dyDescent="0.25">
      <c r="A29" s="1">
        <f>ROUND(A27*1.1,0)</f>
        <v>338</v>
      </c>
      <c r="B29" s="1">
        <f t="shared" ref="B29:H29" si="15">ROUND(B27*1.1,0)</f>
        <v>135</v>
      </c>
      <c r="C29" s="1">
        <f t="shared" si="15"/>
        <v>0</v>
      </c>
      <c r="D29" s="1">
        <f t="shared" si="15"/>
        <v>338</v>
      </c>
      <c r="E29" s="1">
        <f t="shared" si="15"/>
        <v>0</v>
      </c>
      <c r="F29" s="1">
        <f t="shared" si="15"/>
        <v>0</v>
      </c>
      <c r="G29" s="1">
        <f t="shared" si="15"/>
        <v>0</v>
      </c>
      <c r="H29" s="1">
        <f t="shared" si="15"/>
        <v>0</v>
      </c>
      <c r="I29" s="1">
        <v>500</v>
      </c>
      <c r="J29" s="17" t="s">
        <v>43</v>
      </c>
      <c r="K29" s="10">
        <f t="shared" si="3"/>
        <v>96.373799999999989</v>
      </c>
      <c r="L29" s="10">
        <f t="shared" si="5"/>
        <v>86.74</v>
      </c>
      <c r="M29" s="10">
        <v>1</v>
      </c>
      <c r="N29" s="10">
        <f t="shared" si="6"/>
        <v>86.74</v>
      </c>
      <c r="O29" s="4">
        <v>0.01</v>
      </c>
    </row>
    <row r="30" spans="1:19" x14ac:dyDescent="0.25">
      <c r="A30" s="1">
        <v>386</v>
      </c>
      <c r="B30" s="1">
        <v>0</v>
      </c>
      <c r="C30" s="1">
        <v>773</v>
      </c>
      <c r="D30" s="1">
        <v>386</v>
      </c>
      <c r="E30" s="1">
        <v>0</v>
      </c>
      <c r="F30" s="1">
        <v>0</v>
      </c>
      <c r="G30" s="1">
        <v>0</v>
      </c>
      <c r="H30" s="1">
        <v>0</v>
      </c>
      <c r="I30" s="1">
        <v>400</v>
      </c>
      <c r="J30" s="17" t="s">
        <v>44</v>
      </c>
      <c r="K30" s="10">
        <f t="shared" si="3"/>
        <v>225.73712499999999</v>
      </c>
      <c r="L30" s="10">
        <f t="shared" si="5"/>
        <v>203.16</v>
      </c>
      <c r="M30" s="10"/>
      <c r="N30" s="10">
        <f t="shared" si="6"/>
        <v>0</v>
      </c>
      <c r="O30" s="4">
        <v>0.01</v>
      </c>
    </row>
    <row r="31" spans="1:19" x14ac:dyDescent="0.25">
      <c r="A31" s="1">
        <f>ROUND(A30*1.05,0)</f>
        <v>405</v>
      </c>
      <c r="B31" s="1">
        <f t="shared" ref="B31:H31" si="16">ROUND(B30*1.05,0)</f>
        <v>0</v>
      </c>
      <c r="C31" s="1">
        <f t="shared" si="16"/>
        <v>812</v>
      </c>
      <c r="D31" s="1">
        <f t="shared" si="16"/>
        <v>405</v>
      </c>
      <c r="E31" s="1">
        <f t="shared" si="16"/>
        <v>0</v>
      </c>
      <c r="F31" s="1">
        <f t="shared" si="16"/>
        <v>0</v>
      </c>
      <c r="G31" s="1">
        <f t="shared" si="16"/>
        <v>0</v>
      </c>
      <c r="H31" s="1">
        <f t="shared" si="16"/>
        <v>0</v>
      </c>
      <c r="I31" s="1">
        <v>400</v>
      </c>
      <c r="J31" s="17" t="s">
        <v>45</v>
      </c>
      <c r="K31" s="10">
        <f t="shared" si="3"/>
        <v>236.96275000000003</v>
      </c>
      <c r="L31" s="10">
        <f t="shared" si="5"/>
        <v>213.27</v>
      </c>
      <c r="M31" s="10"/>
      <c r="N31" s="10">
        <f t="shared" si="6"/>
        <v>0</v>
      </c>
      <c r="O31" s="4">
        <v>0.01</v>
      </c>
    </row>
    <row r="32" spans="1:19" x14ac:dyDescent="0.25">
      <c r="A32" s="1">
        <f>ROUND(A30*1.1,0)</f>
        <v>425</v>
      </c>
      <c r="B32" s="1">
        <f t="shared" ref="B32:H32" si="17">ROUND(B30*1.1,0)</f>
        <v>0</v>
      </c>
      <c r="C32" s="1">
        <f t="shared" si="17"/>
        <v>850</v>
      </c>
      <c r="D32" s="1">
        <f t="shared" si="17"/>
        <v>425</v>
      </c>
      <c r="E32" s="1">
        <f t="shared" si="17"/>
        <v>0</v>
      </c>
      <c r="F32" s="1">
        <f t="shared" si="17"/>
        <v>0</v>
      </c>
      <c r="G32" s="1">
        <f t="shared" si="17"/>
        <v>0</v>
      </c>
      <c r="H32" s="1">
        <f t="shared" si="17"/>
        <v>0</v>
      </c>
      <c r="I32" s="1">
        <v>400</v>
      </c>
      <c r="J32" s="17" t="s">
        <v>46</v>
      </c>
      <c r="K32" s="10">
        <f t="shared" si="3"/>
        <v>248.41249999999999</v>
      </c>
      <c r="L32" s="10">
        <f t="shared" si="5"/>
        <v>223.57</v>
      </c>
      <c r="M32" s="10"/>
      <c r="N32" s="10">
        <f t="shared" si="6"/>
        <v>0</v>
      </c>
      <c r="O32" s="4">
        <v>0.01</v>
      </c>
    </row>
    <row r="33" spans="1:15" x14ac:dyDescent="0.25">
      <c r="A33" s="1">
        <v>259</v>
      </c>
      <c r="B33" s="1">
        <v>259</v>
      </c>
      <c r="C33" s="1">
        <v>518</v>
      </c>
      <c r="D33" s="1">
        <v>0</v>
      </c>
      <c r="E33" s="1">
        <v>259</v>
      </c>
      <c r="F33" s="1">
        <v>8</v>
      </c>
      <c r="G33" s="1">
        <v>0</v>
      </c>
      <c r="H33" s="1">
        <v>0</v>
      </c>
      <c r="I33" s="1">
        <v>500</v>
      </c>
      <c r="J33" s="17" t="s">
        <v>47</v>
      </c>
      <c r="K33" s="10">
        <f t="shared" si="3"/>
        <v>446.66816</v>
      </c>
      <c r="L33" s="10">
        <f t="shared" si="5"/>
        <v>402</v>
      </c>
      <c r="M33" s="10"/>
      <c r="N33" s="10">
        <f t="shared" si="6"/>
        <v>0</v>
      </c>
      <c r="O33" s="4">
        <v>0.01</v>
      </c>
    </row>
    <row r="34" spans="1:15" x14ac:dyDescent="0.25">
      <c r="A34" s="1">
        <f>ROUND(A33*1.05,0)</f>
        <v>272</v>
      </c>
      <c r="B34" s="1">
        <f t="shared" ref="B34:H34" si="18">ROUND(B33*1.05,0)</f>
        <v>272</v>
      </c>
      <c r="C34" s="1">
        <f t="shared" si="18"/>
        <v>544</v>
      </c>
      <c r="D34" s="1">
        <f t="shared" si="18"/>
        <v>0</v>
      </c>
      <c r="E34" s="1">
        <f t="shared" si="18"/>
        <v>272</v>
      </c>
      <c r="F34" s="1">
        <f t="shared" si="18"/>
        <v>8</v>
      </c>
      <c r="G34" s="1">
        <f t="shared" si="18"/>
        <v>0</v>
      </c>
      <c r="H34" s="1">
        <f t="shared" si="18"/>
        <v>0</v>
      </c>
      <c r="I34" s="1">
        <v>500</v>
      </c>
      <c r="J34" s="17" t="s">
        <v>48</v>
      </c>
      <c r="K34" s="10">
        <f t="shared" si="3"/>
        <v>468.52064000000001</v>
      </c>
      <c r="L34" s="10">
        <f t="shared" si="5"/>
        <v>421.67</v>
      </c>
      <c r="M34" s="10"/>
      <c r="N34" s="10">
        <f t="shared" si="6"/>
        <v>0</v>
      </c>
      <c r="O34" s="4">
        <v>0.01</v>
      </c>
    </row>
    <row r="35" spans="1:15" x14ac:dyDescent="0.25">
      <c r="A35" s="1">
        <f>ROUND(A33*1.1,0)</f>
        <v>285</v>
      </c>
      <c r="B35" s="1">
        <f t="shared" ref="B35:H35" si="19">ROUND(B33*1.1,0)</f>
        <v>285</v>
      </c>
      <c r="C35" s="1">
        <f t="shared" si="19"/>
        <v>570</v>
      </c>
      <c r="D35" s="1">
        <f t="shared" si="19"/>
        <v>0</v>
      </c>
      <c r="E35" s="1">
        <f t="shared" si="19"/>
        <v>285</v>
      </c>
      <c r="F35" s="1">
        <f t="shared" si="19"/>
        <v>9</v>
      </c>
      <c r="G35" s="1">
        <f t="shared" si="19"/>
        <v>0</v>
      </c>
      <c r="H35" s="1">
        <f t="shared" si="19"/>
        <v>0</v>
      </c>
      <c r="I35" s="1">
        <v>500</v>
      </c>
      <c r="J35" s="17" t="s">
        <v>49</v>
      </c>
      <c r="K35" s="10">
        <f t="shared" si="3"/>
        <v>491.78555999999998</v>
      </c>
      <c r="L35" s="10">
        <f t="shared" si="5"/>
        <v>442.61</v>
      </c>
      <c r="M35" s="10"/>
      <c r="N35" s="10">
        <f t="shared" si="6"/>
        <v>0</v>
      </c>
      <c r="O35" s="4">
        <v>0.01</v>
      </c>
    </row>
    <row r="36" spans="1:15" x14ac:dyDescent="0.25">
      <c r="A36" s="1">
        <v>212</v>
      </c>
      <c r="B36" s="1">
        <v>0</v>
      </c>
      <c r="C36" s="1">
        <v>0</v>
      </c>
      <c r="D36" s="1">
        <v>212</v>
      </c>
      <c r="E36" s="1">
        <v>424</v>
      </c>
      <c r="F36" s="1">
        <v>28</v>
      </c>
      <c r="G36" s="1">
        <v>0</v>
      </c>
      <c r="H36" s="1">
        <v>0</v>
      </c>
      <c r="I36" s="1">
        <v>500</v>
      </c>
      <c r="J36" s="17" t="s">
        <v>50</v>
      </c>
      <c r="K36" s="10">
        <f t="shared" si="3"/>
        <v>714.46303999999986</v>
      </c>
      <c r="L36" s="10">
        <f t="shared" si="5"/>
        <v>643.02</v>
      </c>
      <c r="M36" s="10"/>
      <c r="N36" s="10">
        <f t="shared" si="6"/>
        <v>0</v>
      </c>
      <c r="O36" s="4">
        <v>0.01</v>
      </c>
    </row>
    <row r="37" spans="1:15" x14ac:dyDescent="0.25">
      <c r="A37" s="1">
        <f>ROUND(A36*1.05,0)</f>
        <v>223</v>
      </c>
      <c r="B37" s="1">
        <f t="shared" ref="B37:H37" si="20">ROUND(B36*1.05,0)</f>
        <v>0</v>
      </c>
      <c r="C37" s="1">
        <f t="shared" si="20"/>
        <v>0</v>
      </c>
      <c r="D37" s="1">
        <f t="shared" si="20"/>
        <v>223</v>
      </c>
      <c r="E37" s="1">
        <f t="shared" si="20"/>
        <v>445</v>
      </c>
      <c r="F37" s="1">
        <f t="shared" si="20"/>
        <v>29</v>
      </c>
      <c r="G37" s="1">
        <f t="shared" si="20"/>
        <v>0</v>
      </c>
      <c r="H37" s="1">
        <f t="shared" si="20"/>
        <v>0</v>
      </c>
      <c r="I37" s="1">
        <v>500</v>
      </c>
      <c r="J37" s="17" t="s">
        <v>51</v>
      </c>
      <c r="K37" s="10">
        <f t="shared" si="3"/>
        <v>749.44055999999989</v>
      </c>
      <c r="L37" s="10">
        <f t="shared" si="5"/>
        <v>674.5</v>
      </c>
      <c r="M37" s="10"/>
      <c r="N37" s="10">
        <f t="shared" si="6"/>
        <v>0</v>
      </c>
      <c r="O37" s="4">
        <v>0.01</v>
      </c>
    </row>
    <row r="38" spans="1:15" x14ac:dyDescent="0.25">
      <c r="A38" s="1">
        <f>ROUND(A36*1.1,0)</f>
        <v>233</v>
      </c>
      <c r="B38" s="1">
        <f t="shared" ref="B38:H38" si="21">ROUND(B36*1.1,0)</f>
        <v>0</v>
      </c>
      <c r="C38" s="1">
        <f t="shared" si="21"/>
        <v>0</v>
      </c>
      <c r="D38" s="1">
        <f t="shared" si="21"/>
        <v>233</v>
      </c>
      <c r="E38" s="1">
        <f t="shared" si="21"/>
        <v>466</v>
      </c>
      <c r="F38" s="1">
        <f t="shared" si="21"/>
        <v>31</v>
      </c>
      <c r="G38" s="1">
        <f t="shared" si="21"/>
        <v>0</v>
      </c>
      <c r="H38" s="1">
        <f t="shared" si="21"/>
        <v>0</v>
      </c>
      <c r="I38" s="1">
        <v>500</v>
      </c>
      <c r="J38" s="17" t="s">
        <v>52</v>
      </c>
      <c r="K38" s="10">
        <f t="shared" si="3"/>
        <v>785.55511999999987</v>
      </c>
      <c r="L38" s="10">
        <f t="shared" si="5"/>
        <v>707</v>
      </c>
      <c r="M38" s="10"/>
      <c r="N38" s="10">
        <f t="shared" si="6"/>
        <v>0</v>
      </c>
      <c r="O38" s="4">
        <v>0.01</v>
      </c>
    </row>
    <row r="39" spans="1:15" x14ac:dyDescent="0.25">
      <c r="A39" s="1">
        <v>0</v>
      </c>
      <c r="B39" s="1">
        <v>0</v>
      </c>
      <c r="C39" s="1">
        <v>0</v>
      </c>
      <c r="D39" s="1">
        <v>708</v>
      </c>
      <c r="E39" s="1">
        <v>354</v>
      </c>
      <c r="F39" s="1">
        <v>32</v>
      </c>
      <c r="G39" s="1">
        <v>0</v>
      </c>
      <c r="H39" s="1">
        <v>0</v>
      </c>
      <c r="I39" s="1">
        <v>500</v>
      </c>
      <c r="J39" s="17" t="s">
        <v>53</v>
      </c>
      <c r="K39" s="10">
        <f t="shared" si="3"/>
        <v>747.61903999999993</v>
      </c>
      <c r="L39" s="10">
        <f t="shared" si="5"/>
        <v>672.86</v>
      </c>
      <c r="M39" s="10"/>
      <c r="N39" s="10">
        <f t="shared" si="6"/>
        <v>0</v>
      </c>
      <c r="O39" s="4">
        <v>0.01</v>
      </c>
    </row>
    <row r="40" spans="1:15" x14ac:dyDescent="0.25">
      <c r="A40" s="1">
        <f>ROUND(A39*1.05,0)</f>
        <v>0</v>
      </c>
      <c r="B40" s="1">
        <f t="shared" ref="B40:H40" si="22">ROUND(B39*1.05,0)</f>
        <v>0</v>
      </c>
      <c r="C40" s="1">
        <f t="shared" si="22"/>
        <v>0</v>
      </c>
      <c r="D40" s="1">
        <f t="shared" si="22"/>
        <v>743</v>
      </c>
      <c r="E40" s="1">
        <f t="shared" si="22"/>
        <v>372</v>
      </c>
      <c r="F40" s="1">
        <f t="shared" si="22"/>
        <v>34</v>
      </c>
      <c r="G40" s="1">
        <f t="shared" si="22"/>
        <v>0</v>
      </c>
      <c r="H40" s="1">
        <f t="shared" si="22"/>
        <v>0</v>
      </c>
      <c r="I40" s="1">
        <v>500</v>
      </c>
      <c r="J40" s="17" t="s">
        <v>54</v>
      </c>
      <c r="K40" s="10">
        <f t="shared" si="3"/>
        <v>785.89515999999992</v>
      </c>
      <c r="L40" s="10">
        <f t="shared" si="5"/>
        <v>707.31000000000006</v>
      </c>
      <c r="M40" s="10"/>
      <c r="N40" s="10">
        <f t="shared" si="6"/>
        <v>0</v>
      </c>
      <c r="O40" s="4">
        <v>0.01</v>
      </c>
    </row>
    <row r="41" spans="1:15" x14ac:dyDescent="0.25">
      <c r="A41" s="1">
        <f>ROUND(A39*1.1,0)</f>
        <v>0</v>
      </c>
      <c r="B41" s="1">
        <f t="shared" ref="B41:H41" si="23">ROUND(B39*1.1,0)</f>
        <v>0</v>
      </c>
      <c r="C41" s="1">
        <f t="shared" si="23"/>
        <v>0</v>
      </c>
      <c r="D41" s="1">
        <f t="shared" si="23"/>
        <v>779</v>
      </c>
      <c r="E41" s="1">
        <f t="shared" si="23"/>
        <v>389</v>
      </c>
      <c r="F41" s="1">
        <f t="shared" si="23"/>
        <v>35</v>
      </c>
      <c r="G41" s="1">
        <f t="shared" si="23"/>
        <v>0</v>
      </c>
      <c r="H41" s="1">
        <f t="shared" si="23"/>
        <v>0</v>
      </c>
      <c r="I41" s="1">
        <v>500</v>
      </c>
      <c r="J41" s="17" t="s">
        <v>55</v>
      </c>
      <c r="K41" s="10">
        <f t="shared" si="3"/>
        <v>821.56984</v>
      </c>
      <c r="L41" s="10">
        <f t="shared" si="5"/>
        <v>739.41</v>
      </c>
      <c r="M41" s="10"/>
      <c r="N41" s="10">
        <f t="shared" si="6"/>
        <v>0</v>
      </c>
      <c r="O41" s="4">
        <v>0.01</v>
      </c>
    </row>
    <row r="42" spans="1:15" x14ac:dyDescent="0.25">
      <c r="A42" s="1">
        <v>171</v>
      </c>
      <c r="B42" s="1">
        <v>0</v>
      </c>
      <c r="C42" s="1">
        <v>171</v>
      </c>
      <c r="D42" s="1">
        <v>343</v>
      </c>
      <c r="E42" s="1">
        <v>0</v>
      </c>
      <c r="F42" s="1">
        <v>171</v>
      </c>
      <c r="G42" s="1">
        <v>0</v>
      </c>
      <c r="H42" s="1">
        <v>0</v>
      </c>
      <c r="I42" s="1">
        <v>400</v>
      </c>
      <c r="J42" s="17" t="s">
        <v>56</v>
      </c>
      <c r="K42" s="10">
        <f t="shared" si="3"/>
        <v>438.30937499999999</v>
      </c>
      <c r="L42" s="10">
        <f t="shared" si="5"/>
        <v>394.48</v>
      </c>
      <c r="M42" s="10"/>
      <c r="N42" s="10">
        <f t="shared" si="6"/>
        <v>0</v>
      </c>
      <c r="O42" s="4">
        <v>0.01</v>
      </c>
    </row>
    <row r="43" spans="1:15" x14ac:dyDescent="0.25">
      <c r="A43" s="1">
        <f>ROUND(A42*1.05,0)</f>
        <v>180</v>
      </c>
      <c r="B43" s="1">
        <f t="shared" ref="B43:H43" si="24">ROUND(B42*1.05,0)</f>
        <v>0</v>
      </c>
      <c r="C43" s="1">
        <f t="shared" si="24"/>
        <v>180</v>
      </c>
      <c r="D43" s="1">
        <f t="shared" si="24"/>
        <v>360</v>
      </c>
      <c r="E43" s="1">
        <f t="shared" si="24"/>
        <v>0</v>
      </c>
      <c r="F43" s="1">
        <f t="shared" si="24"/>
        <v>180</v>
      </c>
      <c r="G43" s="1">
        <f t="shared" si="24"/>
        <v>0</v>
      </c>
      <c r="H43" s="1">
        <f t="shared" si="24"/>
        <v>0</v>
      </c>
      <c r="I43" s="1">
        <v>400</v>
      </c>
      <c r="J43" s="17" t="s">
        <v>57</v>
      </c>
      <c r="K43" s="10">
        <f t="shared" si="3"/>
        <v>461.02949999999998</v>
      </c>
      <c r="L43" s="10">
        <f t="shared" si="5"/>
        <v>414.93</v>
      </c>
      <c r="M43" s="10"/>
      <c r="N43" s="10">
        <f t="shared" si="6"/>
        <v>0</v>
      </c>
      <c r="O43" s="4">
        <v>0.01</v>
      </c>
    </row>
    <row r="44" spans="1:15" x14ac:dyDescent="0.25">
      <c r="A44" s="1">
        <f>ROUND(A42*1.1,0)</f>
        <v>188</v>
      </c>
      <c r="B44" s="1">
        <f t="shared" ref="B44:H44" si="25">ROUND(B42*1.1,0)</f>
        <v>0</v>
      </c>
      <c r="C44" s="1">
        <f t="shared" si="25"/>
        <v>188</v>
      </c>
      <c r="D44" s="1">
        <f t="shared" si="25"/>
        <v>377</v>
      </c>
      <c r="E44" s="1">
        <f t="shared" si="25"/>
        <v>0</v>
      </c>
      <c r="F44" s="1">
        <f t="shared" si="25"/>
        <v>188</v>
      </c>
      <c r="G44" s="1">
        <f t="shared" si="25"/>
        <v>0</v>
      </c>
      <c r="H44" s="1">
        <f t="shared" si="25"/>
        <v>0</v>
      </c>
      <c r="I44" s="1">
        <v>400</v>
      </c>
      <c r="J44" s="17" t="s">
        <v>58</v>
      </c>
      <c r="K44" s="10">
        <f t="shared" si="3"/>
        <v>481.85105000000004</v>
      </c>
      <c r="L44" s="10">
        <f t="shared" si="5"/>
        <v>433.67</v>
      </c>
      <c r="M44" s="10"/>
      <c r="N44" s="10">
        <f t="shared" si="6"/>
        <v>0</v>
      </c>
      <c r="O44" s="4">
        <v>0.01</v>
      </c>
    </row>
    <row r="45" spans="1:15" x14ac:dyDescent="0.25">
      <c r="A45" s="1">
        <v>250</v>
      </c>
      <c r="B45" s="1">
        <v>0</v>
      </c>
      <c r="C45" s="1">
        <v>0</v>
      </c>
      <c r="D45" s="1">
        <v>0</v>
      </c>
      <c r="E45" s="1">
        <v>500</v>
      </c>
      <c r="F45" s="1">
        <v>250</v>
      </c>
      <c r="G45" s="1">
        <v>0</v>
      </c>
      <c r="H45" s="1">
        <v>0</v>
      </c>
      <c r="I45" s="1">
        <v>400</v>
      </c>
      <c r="J45" s="17" t="s">
        <v>59</v>
      </c>
      <c r="K45" s="10">
        <f t="shared" si="3"/>
        <v>1353.4124999999999</v>
      </c>
      <c r="L45" s="10">
        <f t="shared" si="5"/>
        <v>1218.07</v>
      </c>
      <c r="M45" s="10"/>
      <c r="N45" s="10">
        <f t="shared" si="6"/>
        <v>0</v>
      </c>
      <c r="O45" s="4">
        <v>0.01</v>
      </c>
    </row>
    <row r="46" spans="1:15" x14ac:dyDescent="0.25">
      <c r="A46" s="1">
        <f>ROUND(A45*1.05,0)</f>
        <v>263</v>
      </c>
      <c r="B46" s="1">
        <f t="shared" ref="B46:H46" si="26">ROUND(B45*1.05,0)</f>
        <v>0</v>
      </c>
      <c r="C46" s="1">
        <f t="shared" si="26"/>
        <v>0</v>
      </c>
      <c r="D46" s="1">
        <f t="shared" si="26"/>
        <v>0</v>
      </c>
      <c r="E46" s="1">
        <f t="shared" si="26"/>
        <v>525</v>
      </c>
      <c r="F46" s="1">
        <f t="shared" si="26"/>
        <v>263</v>
      </c>
      <c r="G46" s="1">
        <f t="shared" si="26"/>
        <v>0</v>
      </c>
      <c r="H46" s="1">
        <f t="shared" si="26"/>
        <v>0</v>
      </c>
      <c r="I46" s="1">
        <v>400</v>
      </c>
      <c r="J46" s="17" t="s">
        <v>60</v>
      </c>
      <c r="K46" s="10">
        <f t="shared" si="3"/>
        <v>1421.9723500000002</v>
      </c>
      <c r="L46" s="10">
        <f t="shared" si="5"/>
        <v>1279.78</v>
      </c>
      <c r="M46" s="10"/>
      <c r="N46" s="10">
        <f t="shared" si="6"/>
        <v>0</v>
      </c>
      <c r="O46" s="4">
        <v>0.01</v>
      </c>
    </row>
    <row r="47" spans="1:15" x14ac:dyDescent="0.25">
      <c r="A47" s="1">
        <f>ROUND(A45*1.1,0)</f>
        <v>275</v>
      </c>
      <c r="B47" s="1">
        <f t="shared" ref="B47:H47" si="27">ROUND(B45*1.1,0)</f>
        <v>0</v>
      </c>
      <c r="C47" s="1">
        <f t="shared" si="27"/>
        <v>0</v>
      </c>
      <c r="D47" s="1">
        <f t="shared" si="27"/>
        <v>0</v>
      </c>
      <c r="E47" s="1">
        <f t="shared" si="27"/>
        <v>550</v>
      </c>
      <c r="F47" s="1">
        <f t="shared" si="27"/>
        <v>275</v>
      </c>
      <c r="G47" s="1">
        <f t="shared" si="27"/>
        <v>0</v>
      </c>
      <c r="H47" s="1">
        <f t="shared" si="27"/>
        <v>0</v>
      </c>
      <c r="I47" s="1">
        <v>400</v>
      </c>
      <c r="J47" s="17" t="s">
        <v>61</v>
      </c>
      <c r="K47" s="10">
        <f t="shared" si="3"/>
        <v>1488.7537500000001</v>
      </c>
      <c r="L47" s="10">
        <f t="shared" si="5"/>
        <v>1339.88</v>
      </c>
      <c r="M47" s="10"/>
      <c r="N47" s="10">
        <f t="shared" si="6"/>
        <v>0</v>
      </c>
      <c r="O47" s="4">
        <v>0.01</v>
      </c>
    </row>
    <row r="48" spans="1:15" x14ac:dyDescent="0.25">
      <c r="A48" s="1">
        <v>331</v>
      </c>
      <c r="B48" s="1">
        <v>0</v>
      </c>
      <c r="C48" s="1">
        <v>0</v>
      </c>
      <c r="D48" s="1">
        <v>0</v>
      </c>
      <c r="E48" s="1">
        <v>331</v>
      </c>
      <c r="F48" s="1">
        <v>663</v>
      </c>
      <c r="G48" s="1">
        <v>0</v>
      </c>
      <c r="H48" s="1">
        <v>0</v>
      </c>
      <c r="I48" s="1">
        <v>250</v>
      </c>
      <c r="J48" s="17" t="s">
        <v>62</v>
      </c>
      <c r="K48" s="10">
        <f t="shared" si="3"/>
        <v>2842.3282400000003</v>
      </c>
      <c r="L48" s="10">
        <f t="shared" si="5"/>
        <v>2558.1</v>
      </c>
      <c r="M48" s="10"/>
      <c r="N48" s="10">
        <f t="shared" si="6"/>
        <v>0</v>
      </c>
      <c r="O48" s="4">
        <v>0.01</v>
      </c>
    </row>
    <row r="49" spans="1:15" x14ac:dyDescent="0.25">
      <c r="A49" s="1">
        <f>ROUND(A48*1.05,0)</f>
        <v>348</v>
      </c>
      <c r="B49" s="1">
        <f t="shared" ref="B49:H49" si="28">ROUND(B48*1.05,0)</f>
        <v>0</v>
      </c>
      <c r="C49" s="1">
        <f t="shared" si="28"/>
        <v>0</v>
      </c>
      <c r="D49" s="1">
        <f t="shared" si="28"/>
        <v>0</v>
      </c>
      <c r="E49" s="1">
        <f t="shared" si="28"/>
        <v>348</v>
      </c>
      <c r="F49" s="1">
        <f t="shared" si="28"/>
        <v>696</v>
      </c>
      <c r="G49" s="1">
        <f t="shared" si="28"/>
        <v>0</v>
      </c>
      <c r="H49" s="1">
        <f t="shared" si="28"/>
        <v>0</v>
      </c>
      <c r="I49" s="1">
        <v>250</v>
      </c>
      <c r="J49" s="17" t="s">
        <v>63</v>
      </c>
      <c r="K49" s="10">
        <f t="shared" si="3"/>
        <v>2985.3388799999998</v>
      </c>
      <c r="L49" s="10">
        <f t="shared" si="5"/>
        <v>2686.8</v>
      </c>
      <c r="M49" s="10"/>
      <c r="N49" s="10">
        <f t="shared" si="6"/>
        <v>0</v>
      </c>
      <c r="O49" s="4">
        <v>0.01</v>
      </c>
    </row>
    <row r="50" spans="1:15" x14ac:dyDescent="0.25">
      <c r="A50" s="1">
        <f>ROUND(A48*1.1,0)</f>
        <v>364</v>
      </c>
      <c r="B50" s="1">
        <f t="shared" ref="B50:H50" si="29">ROUND(B48*1.1,0)</f>
        <v>0</v>
      </c>
      <c r="C50" s="1">
        <f t="shared" si="29"/>
        <v>0</v>
      </c>
      <c r="D50" s="1">
        <f t="shared" si="29"/>
        <v>0</v>
      </c>
      <c r="E50" s="1">
        <f t="shared" si="29"/>
        <v>364</v>
      </c>
      <c r="F50" s="1">
        <f t="shared" si="29"/>
        <v>729</v>
      </c>
      <c r="G50" s="1">
        <f t="shared" si="29"/>
        <v>0</v>
      </c>
      <c r="H50" s="1">
        <f t="shared" si="29"/>
        <v>0</v>
      </c>
      <c r="I50" s="1">
        <v>250</v>
      </c>
      <c r="J50" s="17" t="s">
        <v>64</v>
      </c>
      <c r="K50" s="10">
        <f t="shared" si="3"/>
        <v>3125.4207199999996</v>
      </c>
      <c r="L50" s="10">
        <f t="shared" si="5"/>
        <v>2812.88</v>
      </c>
      <c r="M50" s="10"/>
      <c r="N50" s="10">
        <f t="shared" si="6"/>
        <v>0</v>
      </c>
      <c r="O50" s="4">
        <v>0.01</v>
      </c>
    </row>
    <row r="51" spans="1:15" x14ac:dyDescent="0.25">
      <c r="A51" s="1">
        <v>700</v>
      </c>
      <c r="B51" s="1">
        <v>140</v>
      </c>
      <c r="C51" s="1">
        <v>0</v>
      </c>
      <c r="D51" s="1">
        <v>0</v>
      </c>
      <c r="E51" s="1">
        <v>0</v>
      </c>
      <c r="F51" s="1">
        <v>0</v>
      </c>
      <c r="G51" s="1">
        <v>140</v>
      </c>
      <c r="H51" s="1">
        <v>0</v>
      </c>
      <c r="I51" s="1">
        <v>250</v>
      </c>
      <c r="J51" s="17" t="s">
        <v>65</v>
      </c>
      <c r="K51" s="10">
        <f t="shared" si="3"/>
        <v>912.83359999999993</v>
      </c>
      <c r="L51" s="10">
        <f t="shared" si="5"/>
        <v>821.55000000000007</v>
      </c>
      <c r="M51" s="10"/>
      <c r="N51" s="10">
        <f t="shared" si="6"/>
        <v>0</v>
      </c>
      <c r="O51" s="4">
        <v>0.01</v>
      </c>
    </row>
    <row r="52" spans="1:15" x14ac:dyDescent="0.25">
      <c r="A52" s="1">
        <f>ROUND(A51*1.05,0)</f>
        <v>735</v>
      </c>
      <c r="B52" s="1">
        <f t="shared" ref="B52:H52" si="30">ROUND(B51*1.05,0)</f>
        <v>147</v>
      </c>
      <c r="C52" s="1">
        <f t="shared" si="30"/>
        <v>0</v>
      </c>
      <c r="D52" s="1">
        <f t="shared" si="30"/>
        <v>0</v>
      </c>
      <c r="E52" s="1">
        <f t="shared" si="30"/>
        <v>0</v>
      </c>
      <c r="F52" s="1">
        <f t="shared" si="30"/>
        <v>0</v>
      </c>
      <c r="G52" s="1">
        <f t="shared" si="30"/>
        <v>147</v>
      </c>
      <c r="H52" s="1">
        <f t="shared" si="30"/>
        <v>0</v>
      </c>
      <c r="I52" s="1">
        <v>250</v>
      </c>
      <c r="J52" s="17" t="s">
        <v>66</v>
      </c>
      <c r="K52" s="10">
        <f t="shared" si="3"/>
        <v>958.47527999999988</v>
      </c>
      <c r="L52" s="10">
        <f t="shared" si="5"/>
        <v>862.63</v>
      </c>
      <c r="M52" s="10"/>
      <c r="N52" s="10">
        <f t="shared" si="6"/>
        <v>0</v>
      </c>
      <c r="O52" s="4">
        <v>0.01</v>
      </c>
    </row>
    <row r="53" spans="1:15" x14ac:dyDescent="0.25">
      <c r="A53" s="1">
        <f>ROUND(A51*1.1,0)</f>
        <v>770</v>
      </c>
      <c r="B53" s="1">
        <f t="shared" ref="B53:H53" si="31">ROUND(B51*1.1,0)</f>
        <v>154</v>
      </c>
      <c r="C53" s="1">
        <f t="shared" si="31"/>
        <v>0</v>
      </c>
      <c r="D53" s="1">
        <f t="shared" si="31"/>
        <v>0</v>
      </c>
      <c r="E53" s="1">
        <f t="shared" si="31"/>
        <v>0</v>
      </c>
      <c r="F53" s="1">
        <f t="shared" si="31"/>
        <v>0</v>
      </c>
      <c r="G53" s="1">
        <f t="shared" si="31"/>
        <v>154</v>
      </c>
      <c r="H53" s="1">
        <f t="shared" si="31"/>
        <v>0</v>
      </c>
      <c r="I53" s="1">
        <v>250</v>
      </c>
      <c r="J53" s="17" t="s">
        <v>67</v>
      </c>
      <c r="K53" s="10">
        <f t="shared" si="3"/>
        <v>1004.1169599999999</v>
      </c>
      <c r="L53" s="10">
        <f t="shared" si="5"/>
        <v>903.71</v>
      </c>
      <c r="M53" s="10"/>
      <c r="N53" s="10">
        <f t="shared" si="6"/>
        <v>0</v>
      </c>
      <c r="O53" s="4">
        <v>0.01</v>
      </c>
    </row>
    <row r="54" spans="1:15" x14ac:dyDescent="0.25">
      <c r="A54" s="1">
        <v>0</v>
      </c>
      <c r="B54" s="1">
        <v>170</v>
      </c>
      <c r="C54" s="1">
        <v>0</v>
      </c>
      <c r="D54" s="1">
        <v>0</v>
      </c>
      <c r="E54" s="1">
        <v>0</v>
      </c>
      <c r="F54" s="1">
        <v>341</v>
      </c>
      <c r="G54" s="1">
        <v>170</v>
      </c>
      <c r="H54" s="1">
        <v>0</v>
      </c>
      <c r="I54" s="1">
        <v>200</v>
      </c>
      <c r="J54" s="17" t="s">
        <v>68</v>
      </c>
      <c r="K54" s="10">
        <f t="shared" si="3"/>
        <v>2567.7260999999999</v>
      </c>
      <c r="L54" s="10">
        <f t="shared" si="5"/>
        <v>2310.9500000000003</v>
      </c>
      <c r="M54" s="10"/>
      <c r="N54" s="10">
        <f t="shared" si="6"/>
        <v>0</v>
      </c>
      <c r="O54" s="4">
        <v>0.01</v>
      </c>
    </row>
    <row r="55" spans="1:15" x14ac:dyDescent="0.25">
      <c r="A55" s="1">
        <f>ROUND(A54*1.05,0)</f>
        <v>0</v>
      </c>
      <c r="B55" s="1">
        <f t="shared" ref="B55:H55" si="32">ROUND(B54*1.05,0)</f>
        <v>179</v>
      </c>
      <c r="C55" s="1">
        <f t="shared" si="32"/>
        <v>0</v>
      </c>
      <c r="D55" s="1">
        <f t="shared" si="32"/>
        <v>0</v>
      </c>
      <c r="E55" s="1">
        <f t="shared" si="32"/>
        <v>0</v>
      </c>
      <c r="F55" s="1">
        <f t="shared" si="32"/>
        <v>358</v>
      </c>
      <c r="G55" s="1">
        <f t="shared" si="32"/>
        <v>179</v>
      </c>
      <c r="H55" s="1">
        <f t="shared" si="32"/>
        <v>0</v>
      </c>
      <c r="I55" s="1">
        <v>200</v>
      </c>
      <c r="J55" s="17" t="s">
        <v>69</v>
      </c>
      <c r="K55" s="10">
        <f t="shared" si="3"/>
        <v>2699.9465</v>
      </c>
      <c r="L55" s="10">
        <f t="shared" si="5"/>
        <v>2429.9500000000003</v>
      </c>
      <c r="M55" s="10"/>
      <c r="N55" s="10">
        <f t="shared" si="6"/>
        <v>0</v>
      </c>
      <c r="O55" s="4">
        <v>0.01</v>
      </c>
    </row>
    <row r="56" spans="1:15" x14ac:dyDescent="0.25">
      <c r="A56" s="1">
        <f>ROUND(A54*1.1,0)</f>
        <v>0</v>
      </c>
      <c r="B56" s="1">
        <f t="shared" ref="B56:H56" si="33">ROUND(B54*1.1,0)</f>
        <v>187</v>
      </c>
      <c r="C56" s="1">
        <f t="shared" si="33"/>
        <v>0</v>
      </c>
      <c r="D56" s="1">
        <f t="shared" si="33"/>
        <v>0</v>
      </c>
      <c r="E56" s="1">
        <f t="shared" si="33"/>
        <v>0</v>
      </c>
      <c r="F56" s="1">
        <f t="shared" si="33"/>
        <v>375</v>
      </c>
      <c r="G56" s="1">
        <f t="shared" si="33"/>
        <v>187</v>
      </c>
      <c r="H56" s="1">
        <f t="shared" si="33"/>
        <v>0</v>
      </c>
      <c r="I56" s="1">
        <v>200</v>
      </c>
      <c r="J56" s="17" t="s">
        <v>70</v>
      </c>
      <c r="K56" s="10">
        <f t="shared" si="3"/>
        <v>2824.1455999999994</v>
      </c>
      <c r="L56" s="10">
        <f t="shared" si="5"/>
        <v>2541.73</v>
      </c>
      <c r="M56" s="10"/>
      <c r="N56" s="10">
        <f t="shared" si="6"/>
        <v>0</v>
      </c>
      <c r="O56" s="4">
        <v>0.01</v>
      </c>
    </row>
    <row r="57" spans="1:15" x14ac:dyDescent="0.25">
      <c r="A57" s="1">
        <v>300</v>
      </c>
      <c r="B57" s="1">
        <v>0</v>
      </c>
      <c r="C57" s="1">
        <v>0</v>
      </c>
      <c r="D57" s="1">
        <v>0</v>
      </c>
      <c r="E57" s="1">
        <v>0</v>
      </c>
      <c r="F57" s="1">
        <v>166</v>
      </c>
      <c r="G57" s="1">
        <v>333</v>
      </c>
      <c r="H57" s="1">
        <v>0</v>
      </c>
      <c r="I57" s="1">
        <v>200</v>
      </c>
      <c r="J57" s="17" t="s">
        <v>71</v>
      </c>
      <c r="K57" s="10">
        <f t="shared" si="3"/>
        <v>3244.7157999999999</v>
      </c>
      <c r="L57" s="10">
        <f t="shared" si="5"/>
        <v>2920.2400000000002</v>
      </c>
      <c r="M57" s="10"/>
      <c r="N57" s="10">
        <f t="shared" si="6"/>
        <v>0</v>
      </c>
      <c r="O57" s="4">
        <v>0.01</v>
      </c>
    </row>
    <row r="58" spans="1:15" x14ac:dyDescent="0.25">
      <c r="A58" s="1">
        <f>ROUND(A57*1.05,0)</f>
        <v>315</v>
      </c>
      <c r="B58" s="1">
        <f t="shared" ref="B58:H58" si="34">ROUND(B57*1.05,0)</f>
        <v>0</v>
      </c>
      <c r="C58" s="1">
        <f t="shared" si="34"/>
        <v>0</v>
      </c>
      <c r="D58" s="1">
        <f t="shared" si="34"/>
        <v>0</v>
      </c>
      <c r="E58" s="1">
        <f t="shared" si="34"/>
        <v>0</v>
      </c>
      <c r="F58" s="1">
        <f t="shared" si="34"/>
        <v>174</v>
      </c>
      <c r="G58" s="1">
        <f t="shared" si="34"/>
        <v>350</v>
      </c>
      <c r="H58" s="1">
        <f t="shared" si="34"/>
        <v>0</v>
      </c>
      <c r="I58" s="1">
        <v>200</v>
      </c>
      <c r="J58" s="17" t="s">
        <v>72</v>
      </c>
      <c r="K58" s="10">
        <f t="shared" si="3"/>
        <v>3408.6783999999998</v>
      </c>
      <c r="L58" s="10">
        <f t="shared" si="5"/>
        <v>3067.81</v>
      </c>
      <c r="M58" s="10"/>
      <c r="N58" s="10">
        <f t="shared" si="6"/>
        <v>0</v>
      </c>
      <c r="O58" s="4">
        <v>0.01</v>
      </c>
    </row>
    <row r="59" spans="1:15" x14ac:dyDescent="0.25">
      <c r="A59" s="1">
        <f>ROUND(A57*1.1,0)</f>
        <v>330</v>
      </c>
      <c r="B59" s="1">
        <f t="shared" ref="B59:H59" si="35">ROUND(B57*1.1,0)</f>
        <v>0</v>
      </c>
      <c r="C59" s="1">
        <f t="shared" si="35"/>
        <v>0</v>
      </c>
      <c r="D59" s="1">
        <f t="shared" si="35"/>
        <v>0</v>
      </c>
      <c r="E59" s="1">
        <f t="shared" si="35"/>
        <v>0</v>
      </c>
      <c r="F59" s="1">
        <f t="shared" si="35"/>
        <v>183</v>
      </c>
      <c r="G59" s="1">
        <f t="shared" si="35"/>
        <v>366</v>
      </c>
      <c r="H59" s="1">
        <f t="shared" si="35"/>
        <v>0</v>
      </c>
      <c r="I59" s="1">
        <v>200</v>
      </c>
      <c r="J59" s="17" t="s">
        <v>73</v>
      </c>
      <c r="K59" s="10">
        <f t="shared" si="3"/>
        <v>3568.2117000000003</v>
      </c>
      <c r="L59" s="10">
        <f t="shared" si="5"/>
        <v>3211.39</v>
      </c>
      <c r="M59" s="10"/>
      <c r="N59" s="10">
        <f t="shared" si="6"/>
        <v>0</v>
      </c>
      <c r="O59" s="4">
        <v>0.01</v>
      </c>
    </row>
    <row r="60" spans="1:15" x14ac:dyDescent="0.25">
      <c r="A60" s="1">
        <v>0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530</v>
      </c>
      <c r="I60" s="1">
        <v>250</v>
      </c>
      <c r="J60" s="17" t="s">
        <v>74</v>
      </c>
      <c r="K60" s="10">
        <f t="shared" si="3"/>
        <v>14753.906800000001</v>
      </c>
      <c r="L60" s="10">
        <f t="shared" si="5"/>
        <v>13278.52</v>
      </c>
      <c r="M60" s="10"/>
      <c r="N60" s="10">
        <f t="shared" si="6"/>
        <v>0</v>
      </c>
      <c r="O60" s="4">
        <v>0.01</v>
      </c>
    </row>
    <row r="61" spans="1:15" x14ac:dyDescent="0.25">
      <c r="A61" s="1">
        <f>ROUND(A60*1.05,0)</f>
        <v>0</v>
      </c>
      <c r="B61" s="1">
        <f t="shared" ref="B61:H61" si="36">ROUND(B60*1.05,0)</f>
        <v>0</v>
      </c>
      <c r="C61" s="1">
        <f t="shared" si="36"/>
        <v>0</v>
      </c>
      <c r="D61" s="1">
        <f t="shared" si="36"/>
        <v>0</v>
      </c>
      <c r="E61" s="1">
        <f t="shared" si="36"/>
        <v>0</v>
      </c>
      <c r="F61" s="1">
        <f t="shared" si="36"/>
        <v>0</v>
      </c>
      <c r="G61" s="1">
        <f t="shared" si="36"/>
        <v>0</v>
      </c>
      <c r="H61" s="1">
        <f t="shared" si="36"/>
        <v>557</v>
      </c>
      <c r="I61" s="1">
        <v>250</v>
      </c>
      <c r="J61" s="17" t="s">
        <v>75</v>
      </c>
      <c r="K61" s="10">
        <f t="shared" si="3"/>
        <v>15505.520919999999</v>
      </c>
      <c r="L61" s="10">
        <f t="shared" si="5"/>
        <v>13954.970000000001</v>
      </c>
      <c r="M61" s="10"/>
      <c r="N61" s="10">
        <f t="shared" si="6"/>
        <v>0</v>
      </c>
      <c r="O61" s="4">
        <v>0.01</v>
      </c>
    </row>
    <row r="62" spans="1:15" x14ac:dyDescent="0.25">
      <c r="A62" s="1">
        <f>ROUND(A60*1.1,0)</f>
        <v>0</v>
      </c>
      <c r="B62" s="1">
        <f t="shared" ref="B62:H62" si="37">ROUND(B60*1.1,0)</f>
        <v>0</v>
      </c>
      <c r="C62" s="1">
        <f t="shared" si="37"/>
        <v>0</v>
      </c>
      <c r="D62" s="1">
        <f t="shared" si="37"/>
        <v>0</v>
      </c>
      <c r="E62" s="1">
        <f t="shared" si="37"/>
        <v>0</v>
      </c>
      <c r="F62" s="1">
        <f t="shared" si="37"/>
        <v>0</v>
      </c>
      <c r="G62" s="1">
        <f t="shared" si="37"/>
        <v>0</v>
      </c>
      <c r="H62" s="1">
        <f t="shared" si="37"/>
        <v>583</v>
      </c>
      <c r="I62" s="1">
        <v>250</v>
      </c>
      <c r="J62" s="17" t="s">
        <v>76</v>
      </c>
      <c r="K62" s="10">
        <f t="shared" si="3"/>
        <v>16229.297480000001</v>
      </c>
      <c r="L62" s="10">
        <f>ROUND((K62*$Q$13)/O62,0)*O62</f>
        <v>14606.37</v>
      </c>
      <c r="M62" s="10"/>
      <c r="N62" s="10">
        <f t="shared" si="6"/>
        <v>0</v>
      </c>
      <c r="O62" s="4">
        <v>0.01</v>
      </c>
    </row>
    <row r="63" spans="1:15" x14ac:dyDescent="0.25">
      <c r="J63" s="17"/>
      <c r="K63" s="10"/>
      <c r="L63" s="10"/>
      <c r="M63" s="17" t="s">
        <v>77</v>
      </c>
      <c r="N63" s="12">
        <f>SUM(N15:N62)</f>
        <v>100.69</v>
      </c>
      <c r="O63" s="4"/>
    </row>
    <row r="65" spans="1:17" ht="26.25" x14ac:dyDescent="0.4">
      <c r="J65" s="18" t="s">
        <v>78</v>
      </c>
      <c r="K65" s="19"/>
      <c r="L65" s="19"/>
      <c r="M65" s="19"/>
      <c r="N65" s="19"/>
      <c r="P65" s="5" t="s">
        <v>79</v>
      </c>
      <c r="Q65" s="1">
        <v>0.95</v>
      </c>
    </row>
    <row r="66" spans="1:17" x14ac:dyDescent="0.25">
      <c r="J66" s="21" t="s">
        <v>4</v>
      </c>
      <c r="K66" s="21" t="s">
        <v>5</v>
      </c>
      <c r="L66" s="21" t="s">
        <v>6</v>
      </c>
      <c r="M66" s="22" t="s">
        <v>7</v>
      </c>
      <c r="N66" s="22" t="s">
        <v>8</v>
      </c>
    </row>
    <row r="67" spans="1:17" x14ac:dyDescent="0.25">
      <c r="A67" s="1" t="str">
        <f>_xlfn.WEBSERVICE("http://api.eve-central.com/api/marketstat?typeid=16272&amp;minQ=100000&amp;usesystem=30000142")</f>
        <v>&lt;?xml version='1.0' encoding='utf-8'?&gt;
&lt;evec_api version="2.0" method="marketstat_xml"&gt;
      &lt;marketstat&gt;&lt;type id="16272"&gt;
          &lt;buy&gt;&lt;volume&gt;135392400&lt;/volume&gt;&lt;avg&gt;110.69&lt;/avg&gt;&lt;max&gt;124.00&lt;/max&gt;&lt;min&gt;62.00&lt;/min&gt;&lt;stddev&gt;15.72&lt;/stddev&gt;&lt;median&gt;114.46&lt;/median&gt;&lt;percentile&gt;121.37&lt;/percentile&gt;&lt;/buy&gt;
          &lt;sell&gt;&lt;volume&gt;143229608&lt;/volume&gt;&lt;avg&gt;161.75&lt;/avg&gt;&lt;max&gt;448.00&lt;/max&gt;&lt;min&gt;125.55&lt;/min&gt;&lt;stddev&gt;44.33&lt;/stddev&gt;&lt;median&gt;147.88&lt;/median&gt;&lt;percentile&gt;126.12&lt;/percentile&gt;&lt;/sell&gt;
          &lt;all&gt;&lt;volume&gt;270293734&lt;/volume&gt;&lt;avg&gt;127.35&lt;/avg&gt;&lt;max&gt;214.87&lt;/max&gt;&lt;min&gt;62.00&lt;/min&gt;&lt;stddev&gt;23.81&lt;/stddev&gt;&lt;median&gt;124.78&lt;/median&gt;&lt;percentile&gt;86.95&lt;/percentile&gt;&lt;/all&gt;
        &lt;/type&gt;&lt;/marketstat&gt;
    &lt;/evec_api&gt;</v>
      </c>
      <c r="J67" s="23" t="s">
        <v>80</v>
      </c>
      <c r="K67" s="19">
        <f t="shared" ref="K67:K73" si="38">_xlfn.FILTERXML(A67,$A$2)</f>
        <v>124</v>
      </c>
      <c r="L67" s="19">
        <f>ROUND((K67*$Q$65)/O67,0)*O67</f>
        <v>117.8</v>
      </c>
      <c r="M67" s="19">
        <v>1</v>
      </c>
      <c r="N67" s="19">
        <f t="shared" ref="N67:N73" si="39">L67*M67</f>
        <v>117.8</v>
      </c>
      <c r="O67" s="4">
        <v>0.01</v>
      </c>
    </row>
    <row r="68" spans="1:17" x14ac:dyDescent="0.25">
      <c r="A68" s="1" t="str">
        <f>_xlfn.WEBSERVICE("http://api.eve-central.com/api/marketstat?typeid=16274&amp;minQ=1000&amp;usesystem=30000142")</f>
        <v>&lt;?xml version='1.0' encoding='utf-8'?&gt;
&lt;evec_api version="2.0" method="marketstat_xml"&gt;
      &lt;marketstat&gt;&lt;type id="16274"&gt;
          &lt;buy&gt;&lt;volume&gt;141734997&lt;/volume&gt;&lt;avg&gt;702.75&lt;/avg&gt;&lt;max&gt;836.47&lt;/max&gt;&lt;min&gt;400.01&lt;/min&gt;&lt;stddev&gt;115.96&lt;/stddev&gt;&lt;median&gt;670.20&lt;/median&gt;&lt;percentile&gt;836.40&lt;/percentile&gt;&lt;/buy&gt;
          &lt;sell&gt;&lt;volume&gt;164376782&lt;/volume&gt;&lt;avg&gt;924.97&lt;/avg&gt;&lt;max&gt;1436.26&lt;/max&gt;&lt;min&gt;842.00&lt;/min&gt;&lt;stddev&gt;87.76&lt;/stddev&gt;&lt;median&gt;911.09&lt;/median&gt;&lt;percentile&gt;850.32&lt;/percentile&gt;&lt;/sell&gt;
          &lt;all&gt;&lt;volume&gt;310121779&lt;/volume&gt;&lt;avg&gt;812.64&lt;/avg&gt;&lt;max&gt;1436.26&lt;/max&gt;&lt;min&gt;1.00&lt;/min&gt;&lt;stddev&gt;195.36&lt;/stddev&gt;&lt;median&gt;860.00&lt;/median&gt;&lt;percentile&gt;330.13&lt;/percentile&gt;&lt;/all&gt;
        &lt;/type&gt;&lt;/marketstat&gt;
    &lt;/evec_api&gt;</v>
      </c>
      <c r="J68" s="23" t="s">
        <v>81</v>
      </c>
      <c r="K68" s="19">
        <f t="shared" si="38"/>
        <v>836.47</v>
      </c>
      <c r="L68" s="19">
        <f t="shared" ref="L68:L72" si="40">ROUND((K68*$Q$65)/O68,0)*O68</f>
        <v>794.65</v>
      </c>
      <c r="M68" s="19"/>
      <c r="N68" s="19">
        <f t="shared" si="39"/>
        <v>0</v>
      </c>
      <c r="O68" s="4">
        <v>0.01</v>
      </c>
    </row>
    <row r="69" spans="1:17" x14ac:dyDescent="0.25">
      <c r="A69" s="1" t="str">
        <f>_xlfn.WEBSERVICE("http://api.eve-central.com/api/marketstat?typeid=17889&amp;minQ=10000&amp;usesystem=30000142")</f>
        <v>&lt;?xml version='1.0' encoding='utf-8'?&gt;
&lt;evec_api version="2.0" method="marketstat_xml"&gt;
      &lt;marketstat&gt;&lt;type id="17889"&gt;
          &lt;buy&gt;&lt;volume&gt;54013400&lt;/volume&gt;&lt;avg&gt;546.72&lt;/avg&gt;&lt;max&gt;665.80&lt;/max&gt;&lt;min&gt;304.61&lt;/min&gt;&lt;stddev&gt;91.21&lt;/stddev&gt;&lt;median&gt;548.11&lt;/median&gt;&lt;percentile&gt;665.62&lt;/percentile&gt;&lt;/buy&gt;
          &lt;sell&gt;&lt;volume&gt;169429107&lt;/volume&gt;&lt;avg&gt;883.11&lt;/avg&gt;&lt;max&gt;1498.00&lt;/max&gt;&lt;min&gt;700.00&lt;/min&gt;&lt;stddev&gt;152.03&lt;/stddev&gt;&lt;median&gt;784.55&lt;/median&gt;&lt;percentile&gt;706.67&lt;/percentile&gt;&lt;/sell&gt;
          &lt;all&gt;&lt;volume&gt;223942507&lt;/volume&gt;&lt;avg&gt;800.01&lt;/avg&gt;&lt;max&gt;1498.00&lt;/max&gt;&lt;min&gt;1.00&lt;/min&gt;&lt;stddev&gt;183.57&lt;/stddev&gt;&lt;median&gt;738.69&lt;/median&gt;&lt;percentile&gt;385.32&lt;/percentile&gt;&lt;/all&gt;
        &lt;/type&gt;&lt;/marketstat&gt;
    &lt;/evec_api&gt;</v>
      </c>
      <c r="J69" s="23" t="s">
        <v>82</v>
      </c>
      <c r="K69" s="19">
        <f t="shared" si="38"/>
        <v>665.8</v>
      </c>
      <c r="L69" s="19">
        <f t="shared" si="40"/>
        <v>632.51</v>
      </c>
      <c r="M69" s="19"/>
      <c r="N69" s="19">
        <f t="shared" si="39"/>
        <v>0</v>
      </c>
      <c r="O69" s="4">
        <v>0.01</v>
      </c>
    </row>
    <row r="70" spans="1:17" x14ac:dyDescent="0.25">
      <c r="A70" s="1" t="str">
        <f>_xlfn.WEBSERVICE("http://api.eve-central.com/api/marketstat?typeid=16273&amp;minQ=1000&amp;usesystem=30000142")</f>
        <v>&lt;?xml version='1.0' encoding='utf-8'?&gt;
&lt;evec_api version="2.0" method="marketstat_xml"&gt;
      &lt;marketstat&gt;&lt;type id="16273"&gt;
          &lt;buy&gt;&lt;volume&gt;107180400&lt;/volume&gt;&lt;avg&gt;514.43&lt;/avg&gt;&lt;max&gt;552.00&lt;/max&gt;&lt;min&gt;179.99&lt;/min&gt;&lt;stddev&gt;111.56&lt;/stddev&gt;&lt;median&gt;546.01&lt;/median&gt;&lt;percentile&gt;552.00&lt;/percentile&gt;&lt;/buy&gt;
          &lt;sell&gt;&lt;volume&gt;92488801&lt;/volume&gt;&lt;avg&gt;597.28&lt;/avg&gt;&lt;max&gt;714.00&lt;/max&gt;&lt;min&gt;558.00&lt;/min&gt;&lt;stddev&gt;34.33&lt;/stddev&gt;&lt;median&gt;594.94&lt;/median&gt;&lt;percentile&gt;568.93&lt;/percentile&gt;&lt;/sell&gt;
          &lt;all&gt;&lt;volume&gt;199869201&lt;/volume&gt;&lt;avg&gt;552.27&lt;/avg&gt;&lt;max&gt;714.00&lt;/max&gt;&lt;min&gt;17.00&lt;/min&gt;&lt;stddev&gt;121.26&lt;/stddev&gt;&lt;median&gt;552.00&lt;/median&gt;&lt;percentile&gt;448.66&lt;/percentile&gt;&lt;/all&gt;
        &lt;/type&gt;&lt;/marketstat&gt;
    &lt;/evec_api&gt;</v>
      </c>
      <c r="J70" s="23" t="s">
        <v>83</v>
      </c>
      <c r="K70" s="19">
        <f t="shared" si="38"/>
        <v>552</v>
      </c>
      <c r="L70" s="19">
        <f t="shared" si="40"/>
        <v>524.4</v>
      </c>
      <c r="M70" s="19"/>
      <c r="N70" s="19">
        <f t="shared" si="39"/>
        <v>0</v>
      </c>
      <c r="O70" s="4">
        <v>0.01</v>
      </c>
    </row>
    <row r="71" spans="1:17" x14ac:dyDescent="0.25">
      <c r="A71" s="1" t="str">
        <f>_xlfn.WEBSERVICE("http://api.eve-central.com/api/marketstat?typeid=17888&amp;minQ=1000&amp;usesystem=30000142")</f>
        <v>&lt;?xml version='1.0' encoding='utf-8'?&gt;
&lt;evec_api version="2.0" method="marketstat_xml"&gt;
      &lt;marketstat&gt;&lt;type id="17888"&gt;
          &lt;buy&gt;&lt;volume&gt;183584913&lt;/volume&gt;&lt;avg&gt;906.33&lt;/avg&gt;&lt;max&gt;982.00&lt;/max&gt;&lt;min&gt;423.17&lt;/min&gt;&lt;stddev&gt;123.85&lt;/stddev&gt;&lt;median&gt;945.00&lt;/median&gt;&lt;percentile&gt;981.32&lt;/percentile&gt;&lt;/buy&gt;
          &lt;sell&gt;&lt;volume&gt;101233863&lt;/volume&gt;&lt;avg&gt;1046.36&lt;/avg&gt;&lt;max&gt;1235.02&lt;/max&gt;&lt;min&gt;984.00&lt;/min&gt;&lt;stddev&gt;54.84&lt;/stddev&gt;&lt;median&gt;998.25&lt;/median&gt;&lt;percentile&gt;990.28&lt;/percentile&gt;&lt;/sell&gt;
          &lt;all&gt;&lt;volume&gt;285868776&lt;/volume&gt;&lt;avg&gt;953.69&lt;/avg&gt;&lt;max&gt;1235.02&lt;/max&gt;&lt;min&gt;300.00&lt;/min&gt;&lt;stddev&gt;136.01&lt;/stddev&gt;&lt;median&gt;981.06&lt;/median&gt;&lt;percentile&gt;645.48&lt;/percentile&gt;&lt;/all&gt;
        &lt;/type&gt;&lt;/marketstat&gt;
    &lt;/evec_api&gt;</v>
      </c>
      <c r="J71" s="23" t="s">
        <v>84</v>
      </c>
      <c r="K71" s="19">
        <f t="shared" si="38"/>
        <v>982</v>
      </c>
      <c r="L71" s="19">
        <f t="shared" si="40"/>
        <v>932.9</v>
      </c>
      <c r="M71" s="19">
        <v>1</v>
      </c>
      <c r="N71" s="19">
        <f t="shared" si="39"/>
        <v>932.9</v>
      </c>
      <c r="O71" s="4">
        <v>0.01</v>
      </c>
    </row>
    <row r="72" spans="1:17" x14ac:dyDescent="0.25">
      <c r="A72" s="1" t="str">
        <f>_xlfn.WEBSERVICE("http://api.eve-central.com/api/marketstat?typeid=17887&amp;minQ=100000&amp;usesystem=30000142")</f>
        <v>&lt;?xml version='1.0' encoding='utf-8'?&gt;
&lt;evec_api version="2.0" method="marketstat_xml"&gt;
      &lt;marketstat&gt;&lt;type id="17887"&gt;
          &lt;buy&gt;&lt;volume&gt;175319221&lt;/volume&gt;&lt;avg&gt;596.64&lt;/avg&gt;&lt;max&gt;679.00&lt;/max&gt;&lt;min&gt;400.02&lt;/min&gt;&lt;stddev&gt;59.53&lt;/stddev&gt;&lt;median&gt;593.60&lt;/median&gt;&lt;percentile&gt;678.06&lt;/percentile&gt;&lt;/buy&gt;
          &lt;sell&gt;&lt;volume&gt;246816562&lt;/volume&gt;&lt;avg&gt;801.51&lt;/avg&gt;&lt;max&gt;1300.04&lt;/max&gt;&lt;min&gt;689.99&lt;/min&gt;&lt;stddev&gt;148.14&lt;/stddev&gt;&lt;median&gt;749.76&lt;/median&gt;&lt;percentile&gt;694.56&lt;/percentile&gt;&lt;/sell&gt;
          &lt;all&gt;&lt;volume&gt;425771556&lt;/volume&gt;&lt;avg&gt;711.56&lt;/avg&gt;&lt;max&gt;1300.04&lt;/max&gt;&lt;min&gt;138.57&lt;/min&gt;&lt;stddev&gt;179.91&lt;/stddev&gt;&lt;median&gt;697.00&lt;/median&gt;&lt;percentile&gt;510.41&lt;/percentile&gt;&lt;/all&gt;
        &lt;/type&gt;&lt;/marketstat&gt;
    &lt;/evec_api&gt;</v>
      </c>
      <c r="J72" s="23" t="s">
        <v>85</v>
      </c>
      <c r="K72" s="19">
        <f t="shared" si="38"/>
        <v>679</v>
      </c>
      <c r="L72" s="19">
        <f t="shared" si="40"/>
        <v>645.05000000000007</v>
      </c>
      <c r="M72" s="19"/>
      <c r="N72" s="19">
        <f t="shared" si="39"/>
        <v>0</v>
      </c>
      <c r="O72" s="4">
        <v>0.01</v>
      </c>
    </row>
    <row r="73" spans="1:17" x14ac:dyDescent="0.25">
      <c r="A73" s="1" t="str">
        <f>_xlfn.WEBSERVICE("http://api.eve-central.com/api/marketstat?typeid=16275&amp;minQ=100000&amp;usesystem=30000142")</f>
        <v>&lt;?xml version='1.0' encoding='utf-8'?&gt;
&lt;evec_api version="2.0" method="marketstat_xml"&gt;
      &lt;marketstat&gt;&lt;type id="16275"&gt;
          &lt;buy&gt;&lt;volume&gt;27100000&lt;/volume&gt;&lt;avg&gt;167.17&lt;/avg&gt;&lt;max&gt;280.00&lt;/max&gt;&lt;min&gt;50.08&lt;/min&gt;&lt;stddev&gt;97.01&lt;/stddev&gt;&lt;median&gt;228.48&lt;/median&gt;&lt;percentile&gt;280.00&lt;/percentile&gt;&lt;/buy&gt;
          &lt;sell&gt;&lt;volume&gt;67002869&lt;/volume&gt;&lt;avg&gt;401.22&lt;/avg&gt;&lt;max&gt;599.90&lt;/max&gt;&lt;min&gt;294.90&lt;/min&gt;&lt;stddev&gt;70.54&lt;/stddev&gt;&lt;median&gt;313.98&lt;/median&gt;&lt;percentile&gt;294.90&lt;/percentile&gt;&lt;/sell&gt;
          &lt;all&gt;&lt;volume&gt;94102869&lt;/volume&gt;&lt;avg&gt;333.82&lt;/avg&gt;&lt;max&gt;599.90&lt;/max&gt;&lt;min&gt;50.08&lt;/min&gt;&lt;stddev&gt;101.90&lt;/stddev&gt;&lt;median&gt;308.50&lt;/median&gt;&lt;percentile&gt;50.08&lt;/percentile&gt;&lt;/all&gt;
        &lt;/type&gt;&lt;/marketstat&gt;
    &lt;/evec_api&gt;</v>
      </c>
      <c r="J73" s="23" t="s">
        <v>86</v>
      </c>
      <c r="K73" s="19">
        <f t="shared" si="38"/>
        <v>280</v>
      </c>
      <c r="L73" s="19">
        <f t="shared" ref="L68:L73" si="41">ROUND((K73*$Q$65)/O73,0)*O73</f>
        <v>266</v>
      </c>
      <c r="M73" s="19"/>
      <c r="N73" s="19">
        <f t="shared" si="39"/>
        <v>0</v>
      </c>
      <c r="O73" s="4">
        <v>0.01</v>
      </c>
    </row>
    <row r="74" spans="1:17" x14ac:dyDescent="0.25">
      <c r="J74" s="23"/>
      <c r="K74" s="19"/>
      <c r="L74" s="19"/>
      <c r="M74" s="23" t="s">
        <v>87</v>
      </c>
      <c r="N74" s="12">
        <f>SUM(N67:N73)</f>
        <v>1050.7</v>
      </c>
    </row>
    <row r="76" spans="1:17" ht="26.25" x14ac:dyDescent="0.4">
      <c r="J76" s="24" t="s">
        <v>88</v>
      </c>
      <c r="K76" s="25"/>
      <c r="L76" s="25"/>
      <c r="M76" s="25"/>
      <c r="N76" s="25"/>
      <c r="P76" s="5" t="s">
        <v>89</v>
      </c>
      <c r="Q76" s="1">
        <v>0.9</v>
      </c>
    </row>
    <row r="77" spans="1:17" ht="30" x14ac:dyDescent="0.25">
      <c r="J77" s="26" t="s">
        <v>90</v>
      </c>
      <c r="K77" s="26" t="s">
        <v>22</v>
      </c>
      <c r="L77" s="26" t="s">
        <v>6</v>
      </c>
      <c r="M77" s="26" t="s">
        <v>7</v>
      </c>
      <c r="N77" s="26" t="s">
        <v>8</v>
      </c>
    </row>
    <row r="78" spans="1:17" x14ac:dyDescent="0.25">
      <c r="A78" s="1">
        <v>300</v>
      </c>
      <c r="B78" s="1">
        <v>25</v>
      </c>
      <c r="C78" s="1">
        <v>50</v>
      </c>
      <c r="D78" s="1">
        <v>1</v>
      </c>
      <c r="E78" s="1">
        <f>K71</f>
        <v>982</v>
      </c>
      <c r="J78" s="27" t="s">
        <v>91</v>
      </c>
      <c r="K78" s="25">
        <f>A78*E78+B78*$K$70+C78*$K$67+D78*$K$73</f>
        <v>314880</v>
      </c>
      <c r="L78" s="25">
        <f>ROUND((K78*$Q$76)/O78,0)*O78</f>
        <v>283392</v>
      </c>
      <c r="M78" s="25">
        <v>1</v>
      </c>
      <c r="N78" s="25">
        <f t="shared" ref="N78:N89" si="42">L78*M78</f>
        <v>283392</v>
      </c>
      <c r="O78" s="4">
        <v>0.01</v>
      </c>
    </row>
    <row r="79" spans="1:17" x14ac:dyDescent="0.25">
      <c r="A79" s="1">
        <v>350</v>
      </c>
      <c r="B79" s="1">
        <v>40</v>
      </c>
      <c r="C79" s="1">
        <v>75</v>
      </c>
      <c r="D79" s="1">
        <v>1</v>
      </c>
      <c r="E79" s="1">
        <f>K71</f>
        <v>982</v>
      </c>
      <c r="J79" s="27" t="s">
        <v>92</v>
      </c>
      <c r="K79" s="25">
        <f>A79*E79+B79*$K$70+C79*$K$67+D79*$K$73</f>
        <v>375360</v>
      </c>
      <c r="L79" s="25">
        <f t="shared" ref="L79:L89" si="43">ROUND((K79*$Q$76)/O79,0)*O79</f>
        <v>337824</v>
      </c>
      <c r="M79" s="25"/>
      <c r="N79" s="25">
        <f t="shared" si="42"/>
        <v>0</v>
      </c>
      <c r="O79" s="4">
        <v>0.01</v>
      </c>
    </row>
    <row r="80" spans="1:17" x14ac:dyDescent="0.25">
      <c r="A80" s="1">
        <v>300</v>
      </c>
      <c r="B80" s="1">
        <v>25</v>
      </c>
      <c r="C80" s="1">
        <v>50</v>
      </c>
      <c r="D80" s="1">
        <v>1</v>
      </c>
      <c r="E80" s="1">
        <f>K69</f>
        <v>665.8</v>
      </c>
      <c r="J80" s="27" t="s">
        <v>93</v>
      </c>
      <c r="K80" s="25">
        <f t="shared" ref="K80:K89" si="44">A80*E80+B80*$K$70+C80*$K$67+D80*$K$73</f>
        <v>220020</v>
      </c>
      <c r="L80" s="25">
        <f t="shared" si="43"/>
        <v>198018</v>
      </c>
      <c r="M80" s="25"/>
      <c r="N80" s="25">
        <f t="shared" si="42"/>
        <v>0</v>
      </c>
      <c r="O80" s="4">
        <v>0.01</v>
      </c>
    </row>
    <row r="81" spans="1:15" x14ac:dyDescent="0.25">
      <c r="A81" s="1">
        <v>350</v>
      </c>
      <c r="B81" s="1">
        <v>40</v>
      </c>
      <c r="C81" s="1">
        <v>75</v>
      </c>
      <c r="D81" s="1">
        <v>1</v>
      </c>
      <c r="E81" s="1">
        <f>K69</f>
        <v>665.8</v>
      </c>
      <c r="J81" s="27" t="s">
        <v>94</v>
      </c>
      <c r="K81" s="25">
        <f t="shared" si="44"/>
        <v>264690</v>
      </c>
      <c r="L81" s="25">
        <f t="shared" si="43"/>
        <v>238221</v>
      </c>
      <c r="M81" s="25"/>
      <c r="N81" s="25">
        <f t="shared" si="42"/>
        <v>0</v>
      </c>
      <c r="O81" s="4">
        <v>0.01</v>
      </c>
    </row>
    <row r="82" spans="1:15" x14ac:dyDescent="0.25">
      <c r="A82" s="1">
        <v>300</v>
      </c>
      <c r="B82" s="1">
        <v>25</v>
      </c>
      <c r="C82" s="1">
        <v>50</v>
      </c>
      <c r="D82" s="1">
        <v>1</v>
      </c>
      <c r="E82" s="1">
        <f>K72</f>
        <v>679</v>
      </c>
      <c r="J82" s="27" t="s">
        <v>95</v>
      </c>
      <c r="K82" s="25">
        <f t="shared" si="44"/>
        <v>223980</v>
      </c>
      <c r="L82" s="25">
        <f t="shared" si="43"/>
        <v>201582</v>
      </c>
      <c r="M82" s="25"/>
      <c r="N82" s="25">
        <f t="shared" si="42"/>
        <v>0</v>
      </c>
      <c r="O82" s="4">
        <v>0.01</v>
      </c>
    </row>
    <row r="83" spans="1:15" x14ac:dyDescent="0.25">
      <c r="A83" s="1">
        <v>350</v>
      </c>
      <c r="B83" s="1">
        <v>40</v>
      </c>
      <c r="C83" s="1">
        <v>75</v>
      </c>
      <c r="D83" s="1">
        <v>1</v>
      </c>
      <c r="E83" s="1">
        <f>K72</f>
        <v>679</v>
      </c>
      <c r="J83" s="27" t="s">
        <v>96</v>
      </c>
      <c r="K83" s="25">
        <f t="shared" si="44"/>
        <v>269310</v>
      </c>
      <c r="L83" s="25">
        <f t="shared" si="43"/>
        <v>242379</v>
      </c>
      <c r="M83" s="25"/>
      <c r="N83" s="25">
        <f t="shared" si="42"/>
        <v>0</v>
      </c>
      <c r="O83" s="4">
        <v>0.01</v>
      </c>
    </row>
    <row r="84" spans="1:15" x14ac:dyDescent="0.25">
      <c r="A84" s="1">
        <v>300</v>
      </c>
      <c r="B84" s="1">
        <v>25</v>
      </c>
      <c r="C84" s="1">
        <v>50</v>
      </c>
      <c r="D84" s="1">
        <v>1</v>
      </c>
      <c r="E84" s="1">
        <f>K68</f>
        <v>836.47</v>
      </c>
      <c r="J84" s="27" t="s">
        <v>97</v>
      </c>
      <c r="K84" s="25">
        <f t="shared" si="44"/>
        <v>271221</v>
      </c>
      <c r="L84" s="25">
        <f t="shared" si="43"/>
        <v>244098.9</v>
      </c>
      <c r="M84" s="25"/>
      <c r="N84" s="25">
        <f t="shared" si="42"/>
        <v>0</v>
      </c>
      <c r="O84" s="4">
        <v>0.01</v>
      </c>
    </row>
    <row r="85" spans="1:15" x14ac:dyDescent="0.25">
      <c r="A85" s="1">
        <v>350</v>
      </c>
      <c r="B85" s="1">
        <v>40</v>
      </c>
      <c r="C85" s="1">
        <v>75</v>
      </c>
      <c r="D85" s="1">
        <v>1</v>
      </c>
      <c r="E85" s="1">
        <f>K68</f>
        <v>836.47</v>
      </c>
      <c r="J85" s="27" t="s">
        <v>98</v>
      </c>
      <c r="K85" s="25">
        <f t="shared" si="44"/>
        <v>324424.5</v>
      </c>
      <c r="L85" s="25">
        <f t="shared" si="43"/>
        <v>291982.05</v>
      </c>
      <c r="M85" s="25"/>
      <c r="N85" s="25">
        <f t="shared" si="42"/>
        <v>0</v>
      </c>
      <c r="O85" s="4">
        <v>0.01</v>
      </c>
    </row>
    <row r="86" spans="1:15" x14ac:dyDescent="0.25">
      <c r="A86" s="1">
        <v>0</v>
      </c>
      <c r="B86" s="1">
        <v>500</v>
      </c>
      <c r="C86" s="1">
        <v>1000</v>
      </c>
      <c r="D86" s="1">
        <v>25</v>
      </c>
      <c r="E86" s="1">
        <v>0</v>
      </c>
      <c r="J86" s="27" t="s">
        <v>99</v>
      </c>
      <c r="K86" s="25">
        <f t="shared" si="44"/>
        <v>407000</v>
      </c>
      <c r="L86" s="25">
        <f t="shared" si="43"/>
        <v>366300</v>
      </c>
      <c r="M86" s="25">
        <v>1</v>
      </c>
      <c r="N86" s="25">
        <f t="shared" si="42"/>
        <v>366300</v>
      </c>
      <c r="O86" s="4">
        <v>0.01</v>
      </c>
    </row>
    <row r="87" spans="1:15" x14ac:dyDescent="0.25">
      <c r="A87" s="1">
        <v>0</v>
      </c>
      <c r="B87" s="1">
        <v>1000</v>
      </c>
      <c r="C87" s="1">
        <v>500</v>
      </c>
      <c r="D87" s="1">
        <v>50</v>
      </c>
      <c r="E87" s="1">
        <v>0</v>
      </c>
      <c r="J87" s="27" t="s">
        <v>100</v>
      </c>
      <c r="K87" s="25">
        <f t="shared" si="44"/>
        <v>628000</v>
      </c>
      <c r="L87" s="25">
        <f t="shared" si="43"/>
        <v>565200</v>
      </c>
      <c r="M87" s="25"/>
      <c r="N87" s="25">
        <f t="shared" si="42"/>
        <v>0</v>
      </c>
      <c r="O87" s="4">
        <v>0.01</v>
      </c>
    </row>
    <row r="88" spans="1:15" x14ac:dyDescent="0.25">
      <c r="A88" s="1">
        <v>0</v>
      </c>
      <c r="B88" s="1">
        <v>500</v>
      </c>
      <c r="C88" s="1">
        <v>250</v>
      </c>
      <c r="D88" s="1">
        <v>75</v>
      </c>
      <c r="E88" s="1">
        <v>0</v>
      </c>
      <c r="J88" s="27" t="s">
        <v>101</v>
      </c>
      <c r="K88" s="25">
        <f t="shared" si="44"/>
        <v>328000</v>
      </c>
      <c r="L88" s="25">
        <f t="shared" si="43"/>
        <v>295200</v>
      </c>
      <c r="M88" s="25"/>
      <c r="N88" s="25">
        <f t="shared" si="42"/>
        <v>0</v>
      </c>
      <c r="O88" s="4">
        <v>0.01</v>
      </c>
    </row>
    <row r="89" spans="1:15" x14ac:dyDescent="0.25">
      <c r="A89" s="1">
        <v>0</v>
      </c>
      <c r="B89" s="1">
        <v>250</v>
      </c>
      <c r="C89" s="1">
        <v>100</v>
      </c>
      <c r="D89" s="1">
        <v>100</v>
      </c>
      <c r="E89" s="1">
        <v>0</v>
      </c>
      <c r="J89" s="27" t="s">
        <v>102</v>
      </c>
      <c r="K89" s="25">
        <f t="shared" si="44"/>
        <v>178400</v>
      </c>
      <c r="L89" s="25">
        <f t="shared" si="43"/>
        <v>160560</v>
      </c>
      <c r="M89" s="25"/>
      <c r="N89" s="25">
        <f t="shared" si="42"/>
        <v>0</v>
      </c>
      <c r="O89" s="4">
        <v>0.01</v>
      </c>
    </row>
    <row r="90" spans="1:15" x14ac:dyDescent="0.25">
      <c r="J90" s="27"/>
      <c r="K90" s="25"/>
      <c r="L90" s="25"/>
      <c r="M90" s="27" t="s">
        <v>103</v>
      </c>
      <c r="N90" s="12">
        <f>SUM(N78:N89)</f>
        <v>649692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Arachtingi</dc:creator>
  <cp:lastModifiedBy>John Arachtingi</cp:lastModifiedBy>
  <dcterms:created xsi:type="dcterms:W3CDTF">2014-04-07T22:00:42Z</dcterms:created>
  <dcterms:modified xsi:type="dcterms:W3CDTF">2014-04-07T22:10:58Z</dcterms:modified>
</cp:coreProperties>
</file>